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semyers\Desktop\"/>
    </mc:Choice>
  </mc:AlternateContent>
  <bookViews>
    <workbookView xWindow="0" yWindow="0" windowWidth="17250" windowHeight="5910" tabRatio="366"/>
  </bookViews>
  <sheets>
    <sheet name="District Leads (Consortium)" sheetId="4" r:id="rId1"/>
    <sheet name="Virtual IC only (District)" sheetId="6" r:id="rId2"/>
    <sheet name="Grade Band Coaches (District)" sheetId="5" r:id="rId3"/>
    <sheet name="Grade Band Coaches (Consortium)" sheetId="2" r:id="rId4"/>
  </sheets>
  <definedNames>
    <definedName name="_xlnm.Print_Area" localSheetId="0">'District Leads (Consortium)'!$A$2:$M$34</definedName>
    <definedName name="_xlnm.Print_Area" localSheetId="3">'Grade Band Coaches (Consortium)'!$A$2:$M$34</definedName>
  </definedNames>
  <calcPr calcId="162913" fullPrecision="0"/>
  <extLst>
    <ext xmlns:mx="http://schemas.microsoft.com/office/mac/excel/2008/main" uri="{7523E5D3-25F3-A5E0-1632-64F254C22452}">
      <mx:ArchID Flags="2"/>
    </ext>
  </extLst>
</workbook>
</file>

<file path=xl/calcChain.xml><?xml version="1.0" encoding="utf-8"?>
<calcChain xmlns="http://schemas.openxmlformats.org/spreadsheetml/2006/main">
  <c r="H18" i="2" l="1"/>
  <c r="L12" i="2"/>
  <c r="L11" i="2"/>
  <c r="L10" i="2"/>
  <c r="L9" i="2"/>
  <c r="L8" i="2"/>
  <c r="L7" i="2"/>
  <c r="J12" i="2"/>
  <c r="J11" i="2"/>
  <c r="J10" i="2"/>
  <c r="J9" i="2"/>
  <c r="J8" i="2"/>
  <c r="J7" i="2"/>
  <c r="G12" i="2"/>
  <c r="G11" i="2"/>
  <c r="G10" i="2"/>
  <c r="G9" i="2"/>
  <c r="G8" i="2"/>
  <c r="G7" i="2"/>
  <c r="L12" i="5"/>
  <c r="L11" i="5"/>
  <c r="L10" i="5"/>
  <c r="L9" i="5"/>
  <c r="L8" i="5"/>
  <c r="L7" i="5"/>
  <c r="J12" i="5"/>
  <c r="J11" i="5"/>
  <c r="J10" i="5"/>
  <c r="J9" i="5"/>
  <c r="J8" i="5"/>
  <c r="J7" i="5"/>
  <c r="G12" i="5"/>
  <c r="G11" i="5"/>
  <c r="G10" i="5"/>
  <c r="G9" i="5"/>
  <c r="G8" i="5"/>
  <c r="G7" i="5"/>
  <c r="H17" i="4"/>
  <c r="L12" i="4"/>
  <c r="L11" i="4"/>
  <c r="L10" i="4"/>
  <c r="L9" i="4"/>
  <c r="L8" i="4"/>
  <c r="L7" i="4"/>
  <c r="J12" i="4"/>
  <c r="J11" i="4"/>
  <c r="J10" i="4"/>
  <c r="J9" i="4"/>
  <c r="J8" i="4"/>
  <c r="J7" i="4"/>
  <c r="G12" i="4"/>
  <c r="G11" i="4"/>
  <c r="G10" i="4"/>
  <c r="G9" i="4"/>
  <c r="G8" i="4"/>
  <c r="G7" i="4"/>
  <c r="L8" i="6"/>
  <c r="L7" i="6"/>
  <c r="J8" i="6"/>
  <c r="J7" i="6"/>
  <c r="G8" i="6"/>
  <c r="G7" i="6"/>
  <c r="D55" i="6"/>
  <c r="F55" i="6" s="1"/>
  <c r="I55" i="6" s="1"/>
  <c r="L55" i="6" s="1"/>
  <c r="F52" i="6"/>
  <c r="I52" i="6" s="1"/>
  <c r="E51" i="6"/>
  <c r="F51" i="6" s="1"/>
  <c r="F50" i="6"/>
  <c r="L50" i="6" s="1"/>
  <c r="F49" i="6"/>
  <c r="L49" i="6" s="1"/>
  <c r="F44" i="6"/>
  <c r="I44" i="6" s="1"/>
  <c r="E43" i="6"/>
  <c r="F43" i="6" s="1"/>
  <c r="F42" i="6"/>
  <c r="L42" i="6" s="1"/>
  <c r="AC27" i="6"/>
  <c r="AB27" i="6"/>
  <c r="AA27" i="6"/>
  <c r="Z27" i="6"/>
  <c r="Y27" i="6"/>
  <c r="X27" i="6"/>
  <c r="W27" i="6"/>
  <c r="V27" i="6"/>
  <c r="U27" i="6"/>
  <c r="T27" i="6"/>
  <c r="S27" i="6"/>
  <c r="R27" i="6"/>
  <c r="Q27" i="6"/>
  <c r="P27" i="6"/>
  <c r="O27" i="6"/>
  <c r="M27" i="6"/>
  <c r="AC26" i="6"/>
  <c r="AB26" i="6"/>
  <c r="AA26" i="6"/>
  <c r="Z26" i="6"/>
  <c r="Y26" i="6"/>
  <c r="X26" i="6"/>
  <c r="W26" i="6"/>
  <c r="V26" i="6"/>
  <c r="U26" i="6"/>
  <c r="T26" i="6"/>
  <c r="S26" i="6"/>
  <c r="R26" i="6"/>
  <c r="Q26" i="6"/>
  <c r="P26" i="6"/>
  <c r="O26" i="6"/>
  <c r="M26" i="6"/>
  <c r="S25" i="6"/>
  <c r="R25" i="6"/>
  <c r="Q25" i="6"/>
  <c r="P25" i="6"/>
  <c r="O25" i="6"/>
  <c r="J25" i="6"/>
  <c r="T25" i="6" s="1"/>
  <c r="AC24" i="6"/>
  <c r="AB24" i="6"/>
  <c r="AA24" i="6"/>
  <c r="Z24" i="6"/>
  <c r="Y24" i="6"/>
  <c r="X24" i="6"/>
  <c r="W24" i="6"/>
  <c r="V24" i="6"/>
  <c r="U24" i="6"/>
  <c r="T24" i="6"/>
  <c r="S24" i="6"/>
  <c r="R24" i="6"/>
  <c r="Q24" i="6"/>
  <c r="P24" i="6"/>
  <c r="O24" i="6"/>
  <c r="AC23" i="6"/>
  <c r="AB23" i="6"/>
  <c r="AA23" i="6"/>
  <c r="Z23" i="6"/>
  <c r="Y23" i="6"/>
  <c r="X23" i="6"/>
  <c r="W23" i="6"/>
  <c r="V23" i="6"/>
  <c r="U23" i="6"/>
  <c r="T23" i="6"/>
  <c r="S23" i="6"/>
  <c r="R23" i="6"/>
  <c r="Q23" i="6"/>
  <c r="P23" i="6"/>
  <c r="O23" i="6"/>
  <c r="M23" i="6"/>
  <c r="AC22" i="6"/>
  <c r="S22" i="6"/>
  <c r="K22" i="6"/>
  <c r="AB22" i="6" s="1"/>
  <c r="I22" i="6"/>
  <c r="T22" i="6" s="1"/>
  <c r="E22" i="6"/>
  <c r="P22" i="6" s="1"/>
  <c r="AC21" i="6"/>
  <c r="AB21" i="6"/>
  <c r="AA21" i="6"/>
  <c r="X21" i="6"/>
  <c r="W21" i="6"/>
  <c r="V21" i="6"/>
  <c r="U21" i="6"/>
  <c r="T21" i="6"/>
  <c r="S21" i="6"/>
  <c r="R21" i="6"/>
  <c r="Q21" i="6"/>
  <c r="P21" i="6"/>
  <c r="O21" i="6"/>
  <c r="K21" i="6"/>
  <c r="Z21" i="6" s="1"/>
  <c r="W20" i="6"/>
  <c r="T20" i="6"/>
  <c r="S20" i="6"/>
  <c r="R20" i="6"/>
  <c r="Q20" i="6"/>
  <c r="P20" i="6"/>
  <c r="O20" i="6"/>
  <c r="I20" i="6"/>
  <c r="V20" i="6" s="1"/>
  <c r="U19" i="6"/>
  <c r="S19" i="6"/>
  <c r="R19" i="6"/>
  <c r="Q19" i="6"/>
  <c r="P19" i="6"/>
  <c r="O19" i="6"/>
  <c r="I19" i="6"/>
  <c r="W19" i="6" s="1"/>
  <c r="AC17" i="6"/>
  <c r="AB17" i="6"/>
  <c r="AA17" i="6"/>
  <c r="Z17" i="6"/>
  <c r="Y17" i="6"/>
  <c r="X17" i="6"/>
  <c r="W17" i="6"/>
  <c r="V17" i="6"/>
  <c r="U17" i="6"/>
  <c r="T17" i="6"/>
  <c r="S17" i="6"/>
  <c r="R17" i="6"/>
  <c r="Q17" i="6"/>
  <c r="P17" i="6"/>
  <c r="O17" i="6"/>
  <c r="M17" i="6"/>
  <c r="AC16" i="6"/>
  <c r="AB16" i="6"/>
  <c r="AA16" i="6"/>
  <c r="Z16" i="6"/>
  <c r="Y16" i="6"/>
  <c r="X16" i="6"/>
  <c r="W16" i="6"/>
  <c r="V16" i="6"/>
  <c r="U16" i="6"/>
  <c r="T16" i="6"/>
  <c r="S16" i="6"/>
  <c r="R16" i="6"/>
  <c r="Q16" i="6"/>
  <c r="P16" i="6"/>
  <c r="AC15" i="6"/>
  <c r="AB15" i="6"/>
  <c r="AA15" i="6"/>
  <c r="Z15" i="6"/>
  <c r="Y15" i="6"/>
  <c r="X15" i="6"/>
  <c r="W15" i="6"/>
  <c r="V15" i="6"/>
  <c r="U15" i="6"/>
  <c r="T15" i="6"/>
  <c r="S15" i="6"/>
  <c r="R15" i="6"/>
  <c r="Q15" i="6"/>
  <c r="P15" i="6"/>
  <c r="AB14" i="6"/>
  <c r="L14" i="6"/>
  <c r="Y14" i="6" s="1"/>
  <c r="J14" i="6"/>
  <c r="W14" i="6" s="1"/>
  <c r="H14" i="6"/>
  <c r="Q14" i="6" s="1"/>
  <c r="V13" i="6"/>
  <c r="U13" i="6"/>
  <c r="L13" i="6"/>
  <c r="AB13" i="6" s="1"/>
  <c r="J13" i="6"/>
  <c r="T13" i="6" s="1"/>
  <c r="H13" i="6"/>
  <c r="S13" i="6" s="1"/>
  <c r="AC12" i="6"/>
  <c r="AB12" i="6"/>
  <c r="AA12" i="6"/>
  <c r="Z12" i="6"/>
  <c r="Y12" i="6"/>
  <c r="X12" i="6"/>
  <c r="W12" i="6"/>
  <c r="V12" i="6"/>
  <c r="U12" i="6"/>
  <c r="T12" i="6"/>
  <c r="S12" i="6"/>
  <c r="R12" i="6"/>
  <c r="Q12" i="6"/>
  <c r="P12" i="6"/>
  <c r="Y8" i="6"/>
  <c r="V8" i="6"/>
  <c r="F8" i="6"/>
  <c r="H8" i="6" s="1"/>
  <c r="Z7" i="6"/>
  <c r="X7" i="6"/>
  <c r="F7" i="6"/>
  <c r="AA8" i="6" l="1"/>
  <c r="Z8" i="6"/>
  <c r="F9" i="6"/>
  <c r="AB8" i="6"/>
  <c r="R14" i="6"/>
  <c r="H18" i="6"/>
  <c r="Z14" i="6"/>
  <c r="Q22" i="6"/>
  <c r="AC7" i="6"/>
  <c r="R13" i="6"/>
  <c r="AA14" i="6"/>
  <c r="R22" i="6"/>
  <c r="U25" i="6"/>
  <c r="X19" i="6"/>
  <c r="X20" i="6"/>
  <c r="I50" i="6"/>
  <c r="AC8" i="6"/>
  <c r="I42" i="6"/>
  <c r="W8" i="6"/>
  <c r="W13" i="6"/>
  <c r="T8" i="6"/>
  <c r="X8" i="6"/>
  <c r="O22" i="6"/>
  <c r="L52" i="6"/>
  <c r="X13" i="6"/>
  <c r="T7" i="6"/>
  <c r="O13" i="6"/>
  <c r="AA7" i="6"/>
  <c r="P13" i="6"/>
  <c r="Y21" i="6"/>
  <c r="AB7" i="6"/>
  <c r="Q13" i="6"/>
  <c r="T19" i="6"/>
  <c r="L44" i="6"/>
  <c r="S8" i="6"/>
  <c r="R8" i="6"/>
  <c r="Q8" i="6"/>
  <c r="P8" i="6"/>
  <c r="O8" i="6"/>
  <c r="G9" i="6"/>
  <c r="L51" i="6"/>
  <c r="I51" i="6"/>
  <c r="F53" i="6"/>
  <c r="F45" i="6"/>
  <c r="L43" i="6"/>
  <c r="I43" i="6"/>
  <c r="S14" i="6"/>
  <c r="L25" i="6"/>
  <c r="J9" i="6"/>
  <c r="AC13" i="6"/>
  <c r="H7" i="6"/>
  <c r="V22" i="6"/>
  <c r="J18" i="6"/>
  <c r="V7" i="6"/>
  <c r="L9" i="6"/>
  <c r="AC14" i="6"/>
  <c r="M14" i="6"/>
  <c r="Y22" i="6"/>
  <c r="W22" i="6"/>
  <c r="W25" i="6"/>
  <c r="U14" i="6"/>
  <c r="W7" i="6"/>
  <c r="Z22" i="6"/>
  <c r="I49" i="6"/>
  <c r="M13" i="6"/>
  <c r="M15" i="6" s="1"/>
  <c r="V25" i="6"/>
  <c r="U7" i="6"/>
  <c r="T14" i="6"/>
  <c r="Z13" i="6"/>
  <c r="U8" i="6"/>
  <c r="AA13" i="6"/>
  <c r="P14" i="6"/>
  <c r="X14" i="6"/>
  <c r="K19" i="6"/>
  <c r="V19" i="6"/>
  <c r="U20" i="6"/>
  <c r="AA22" i="6"/>
  <c r="U22" i="6"/>
  <c r="X22" i="6"/>
  <c r="X25" i="6"/>
  <c r="Y13" i="6"/>
  <c r="V14" i="6"/>
  <c r="O14" i="6"/>
  <c r="Y7" i="6"/>
  <c r="K20" i="6"/>
  <c r="D59" i="5"/>
  <c r="F59" i="5" s="1"/>
  <c r="I59" i="5" s="1"/>
  <c r="L59" i="5" s="1"/>
  <c r="L56" i="5"/>
  <c r="F56" i="5"/>
  <c r="I56" i="5" s="1"/>
  <c r="E55" i="5"/>
  <c r="F55" i="5" s="1"/>
  <c r="L54" i="5"/>
  <c r="I54" i="5"/>
  <c r="F54" i="5"/>
  <c r="F53" i="5"/>
  <c r="L53" i="5" s="1"/>
  <c r="L48" i="5"/>
  <c r="F48" i="5"/>
  <c r="I48" i="5" s="1"/>
  <c r="E47" i="5"/>
  <c r="F47" i="5" s="1"/>
  <c r="L46" i="5"/>
  <c r="I46" i="5"/>
  <c r="F46" i="5"/>
  <c r="AC31" i="5"/>
  <c r="AB31" i="5"/>
  <c r="AA31" i="5"/>
  <c r="Z31" i="5"/>
  <c r="Y31" i="5"/>
  <c r="X31" i="5"/>
  <c r="W31" i="5"/>
  <c r="V31" i="5"/>
  <c r="U31" i="5"/>
  <c r="T31" i="5"/>
  <c r="S31" i="5"/>
  <c r="R31" i="5"/>
  <c r="Q31" i="5"/>
  <c r="P31" i="5"/>
  <c r="O31" i="5"/>
  <c r="M31" i="5"/>
  <c r="AC30" i="5"/>
  <c r="AB30" i="5"/>
  <c r="AA30" i="5"/>
  <c r="Z30" i="5"/>
  <c r="Y30" i="5"/>
  <c r="X30" i="5"/>
  <c r="W30" i="5"/>
  <c r="V30" i="5"/>
  <c r="U30" i="5"/>
  <c r="T30" i="5"/>
  <c r="S30" i="5"/>
  <c r="R30" i="5"/>
  <c r="Q30" i="5"/>
  <c r="P30" i="5"/>
  <c r="O30" i="5"/>
  <c r="M30" i="5"/>
  <c r="AA29" i="5"/>
  <c r="Z29" i="5"/>
  <c r="Y29" i="5"/>
  <c r="X29" i="5"/>
  <c r="V29" i="5"/>
  <c r="T29" i="5"/>
  <c r="S29" i="5"/>
  <c r="R29" i="5"/>
  <c r="Q29" i="5"/>
  <c r="P29" i="5"/>
  <c r="O29" i="5"/>
  <c r="L29" i="5"/>
  <c r="AC29" i="5" s="1"/>
  <c r="J29" i="5"/>
  <c r="W29" i="5" s="1"/>
  <c r="AC28" i="5"/>
  <c r="AB28" i="5"/>
  <c r="AA28" i="5"/>
  <c r="Z28" i="5"/>
  <c r="Y28" i="5"/>
  <c r="X28" i="5"/>
  <c r="W28" i="5"/>
  <c r="V28" i="5"/>
  <c r="U28" i="5"/>
  <c r="T28" i="5"/>
  <c r="S28" i="5"/>
  <c r="R28" i="5"/>
  <c r="Q28" i="5"/>
  <c r="P28" i="5"/>
  <c r="O28" i="5"/>
  <c r="AC27" i="5"/>
  <c r="AB27" i="5"/>
  <c r="AA27" i="5"/>
  <c r="Z27" i="5"/>
  <c r="Y27" i="5"/>
  <c r="X27" i="5"/>
  <c r="W27" i="5"/>
  <c r="V27" i="5"/>
  <c r="U27" i="5"/>
  <c r="T27" i="5"/>
  <c r="S27" i="5"/>
  <c r="R27" i="5"/>
  <c r="Q27" i="5"/>
  <c r="P27" i="5"/>
  <c r="O27" i="5"/>
  <c r="M27" i="5"/>
  <c r="AA26" i="5"/>
  <c r="Z26" i="5"/>
  <c r="Y26" i="5"/>
  <c r="X26" i="5"/>
  <c r="V26" i="5"/>
  <c r="T26" i="5"/>
  <c r="S26" i="5"/>
  <c r="R26" i="5"/>
  <c r="Q26" i="5"/>
  <c r="P26" i="5"/>
  <c r="K26" i="5"/>
  <c r="AC26" i="5" s="1"/>
  <c r="I26" i="5"/>
  <c r="W26" i="5" s="1"/>
  <c r="E26" i="5"/>
  <c r="O26" i="5" s="1"/>
  <c r="AC25" i="5"/>
  <c r="AB25" i="5"/>
  <c r="AA25" i="5"/>
  <c r="Z25" i="5"/>
  <c r="X25" i="5"/>
  <c r="W25" i="5"/>
  <c r="V25" i="5"/>
  <c r="U25" i="5"/>
  <c r="T25" i="5"/>
  <c r="S25" i="5"/>
  <c r="R25" i="5"/>
  <c r="Q25" i="5"/>
  <c r="P25" i="5"/>
  <c r="O25" i="5"/>
  <c r="K25" i="5"/>
  <c r="Y25" i="5" s="1"/>
  <c r="T24" i="5"/>
  <c r="S24" i="5"/>
  <c r="R24" i="5"/>
  <c r="Q24" i="5"/>
  <c r="P24" i="5"/>
  <c r="O24" i="5"/>
  <c r="I24" i="5"/>
  <c r="X24" i="5" s="1"/>
  <c r="T23" i="5"/>
  <c r="S23" i="5"/>
  <c r="R23" i="5"/>
  <c r="Q23" i="5"/>
  <c r="P23" i="5"/>
  <c r="O23" i="5"/>
  <c r="I23" i="5"/>
  <c r="J22" i="5" s="1"/>
  <c r="H22" i="5"/>
  <c r="AC21" i="5"/>
  <c r="AB21" i="5"/>
  <c r="AA21" i="5"/>
  <c r="Z21" i="5"/>
  <c r="Y21" i="5"/>
  <c r="X21" i="5"/>
  <c r="W21" i="5"/>
  <c r="V21" i="5"/>
  <c r="U21" i="5"/>
  <c r="T21" i="5"/>
  <c r="S21" i="5"/>
  <c r="R21" i="5"/>
  <c r="Q21" i="5"/>
  <c r="P21" i="5"/>
  <c r="O21" i="5"/>
  <c r="M21" i="5"/>
  <c r="AC20" i="5"/>
  <c r="AB20" i="5"/>
  <c r="AA20" i="5"/>
  <c r="Z20" i="5"/>
  <c r="Y20" i="5"/>
  <c r="X20" i="5"/>
  <c r="W20" i="5"/>
  <c r="V20" i="5"/>
  <c r="U20" i="5"/>
  <c r="T20" i="5"/>
  <c r="S20" i="5"/>
  <c r="R20" i="5"/>
  <c r="Q20" i="5"/>
  <c r="P20" i="5"/>
  <c r="AC19" i="5"/>
  <c r="AB19" i="5"/>
  <c r="AA19" i="5"/>
  <c r="Z19" i="5"/>
  <c r="Y19" i="5"/>
  <c r="X19" i="5"/>
  <c r="W19" i="5"/>
  <c r="V19" i="5"/>
  <c r="U19" i="5"/>
  <c r="T19" i="5"/>
  <c r="S19" i="5"/>
  <c r="R19" i="5"/>
  <c r="Q19" i="5"/>
  <c r="P19" i="5"/>
  <c r="X18" i="5"/>
  <c r="W18" i="5"/>
  <c r="V18" i="5"/>
  <c r="U18" i="5"/>
  <c r="Q18" i="5"/>
  <c r="P18" i="5"/>
  <c r="O18" i="5"/>
  <c r="L18" i="5"/>
  <c r="AB18" i="5" s="1"/>
  <c r="J18" i="5"/>
  <c r="T18" i="5" s="1"/>
  <c r="H18" i="5"/>
  <c r="S18" i="5" s="1"/>
  <c r="AB17" i="5"/>
  <c r="AA17" i="5"/>
  <c r="Z17" i="5"/>
  <c r="Y17" i="5"/>
  <c r="X17" i="5"/>
  <c r="R17" i="5"/>
  <c r="Q17" i="5"/>
  <c r="P17" i="5"/>
  <c r="L17" i="5"/>
  <c r="AC17" i="5" s="1"/>
  <c r="J17" i="5"/>
  <c r="W17" i="5" s="1"/>
  <c r="H17" i="5"/>
  <c r="O17" i="5" s="1"/>
  <c r="AC16" i="5"/>
  <c r="AB16" i="5"/>
  <c r="AA16" i="5"/>
  <c r="Z16" i="5"/>
  <c r="Y16" i="5"/>
  <c r="X16" i="5"/>
  <c r="W16" i="5"/>
  <c r="V16" i="5"/>
  <c r="U16" i="5"/>
  <c r="T16" i="5"/>
  <c r="S16" i="5"/>
  <c r="R16" i="5"/>
  <c r="Q16" i="5"/>
  <c r="P16" i="5"/>
  <c r="AB12" i="5"/>
  <c r="W12" i="5"/>
  <c r="F12" i="5"/>
  <c r="H12" i="5" s="1"/>
  <c r="R12" i="5" s="1"/>
  <c r="V11" i="5"/>
  <c r="AA11" i="5"/>
  <c r="F11" i="5"/>
  <c r="H11" i="5" s="1"/>
  <c r="Q11" i="5" s="1"/>
  <c r="Z10" i="5"/>
  <c r="U10" i="5"/>
  <c r="F10" i="5"/>
  <c r="H10" i="5" s="1"/>
  <c r="P10" i="5" s="1"/>
  <c r="T9" i="5"/>
  <c r="Y9" i="5"/>
  <c r="F9" i="5"/>
  <c r="H9" i="5" s="1"/>
  <c r="O9" i="5" s="1"/>
  <c r="T8" i="5"/>
  <c r="Y8" i="5"/>
  <c r="X8" i="5"/>
  <c r="F8" i="5"/>
  <c r="H8" i="5" s="1"/>
  <c r="X7" i="5"/>
  <c r="W7" i="5"/>
  <c r="V7" i="5"/>
  <c r="T7" i="5"/>
  <c r="AC7" i="5"/>
  <c r="F7" i="5"/>
  <c r="F13" i="5" s="1"/>
  <c r="F8" i="2"/>
  <c r="F8" i="4"/>
  <c r="K26" i="4"/>
  <c r="I26" i="4"/>
  <c r="E26" i="4"/>
  <c r="AB8" i="5" l="1"/>
  <c r="Z8" i="5"/>
  <c r="AA8" i="5"/>
  <c r="AC8" i="5"/>
  <c r="J13" i="5"/>
  <c r="L45" i="6"/>
  <c r="L53" i="6"/>
  <c r="I45" i="6"/>
  <c r="G37" i="6"/>
  <c r="I53" i="6"/>
  <c r="J37" i="6" s="1"/>
  <c r="N37" i="6" s="1"/>
  <c r="M11" i="6" s="1"/>
  <c r="R7" i="6"/>
  <c r="Q7" i="6"/>
  <c r="P7" i="6"/>
  <c r="S7" i="6"/>
  <c r="O7" i="6"/>
  <c r="H9" i="6"/>
  <c r="M9" i="6" s="1"/>
  <c r="M37" i="6"/>
  <c r="Y19" i="6"/>
  <c r="AC19" i="6"/>
  <c r="Z19" i="6"/>
  <c r="AB19" i="6"/>
  <c r="AA19" i="6"/>
  <c r="L18" i="6"/>
  <c r="M18" i="6" s="1"/>
  <c r="AB25" i="6"/>
  <c r="AA25" i="6"/>
  <c r="Z25" i="6"/>
  <c r="AC25" i="6"/>
  <c r="Y25" i="6"/>
  <c r="AC20" i="6"/>
  <c r="AA20" i="6"/>
  <c r="AB20" i="6"/>
  <c r="Y20" i="6"/>
  <c r="Z20" i="6"/>
  <c r="H11" i="6"/>
  <c r="L55" i="5"/>
  <c r="L57" i="5" s="1"/>
  <c r="I55" i="5"/>
  <c r="F57" i="5"/>
  <c r="L47" i="5"/>
  <c r="L49" i="5" s="1"/>
  <c r="M41" i="5" s="1"/>
  <c r="I47" i="5"/>
  <c r="I49" i="5" s="1"/>
  <c r="F49" i="5"/>
  <c r="I53" i="5"/>
  <c r="Q8" i="5"/>
  <c r="P8" i="5"/>
  <c r="S8" i="5"/>
  <c r="O8" i="5"/>
  <c r="R8" i="5"/>
  <c r="AC18" i="5"/>
  <c r="K23" i="5"/>
  <c r="Y7" i="5"/>
  <c r="Z7" i="5"/>
  <c r="W23" i="5"/>
  <c r="V24" i="5"/>
  <c r="AB26" i="5"/>
  <c r="AB29" i="5"/>
  <c r="U23" i="5"/>
  <c r="U8" i="5"/>
  <c r="V23" i="5"/>
  <c r="V8" i="5"/>
  <c r="T17" i="5"/>
  <c r="K24" i="5"/>
  <c r="AA7" i="5"/>
  <c r="W8" i="5"/>
  <c r="U17" i="5"/>
  <c r="R18" i="5"/>
  <c r="Z18" i="5"/>
  <c r="X23" i="5"/>
  <c r="W24" i="5"/>
  <c r="U26" i="5"/>
  <c r="U29" i="5"/>
  <c r="L13" i="5"/>
  <c r="M18" i="5"/>
  <c r="U24" i="5"/>
  <c r="AB7" i="5"/>
  <c r="M17" i="5"/>
  <c r="V17" i="5"/>
  <c r="S17" i="5"/>
  <c r="Y18" i="5"/>
  <c r="AA18" i="5"/>
  <c r="U7" i="5"/>
  <c r="D59" i="4"/>
  <c r="F59" i="4" s="1"/>
  <c r="I59" i="4" s="1"/>
  <c r="L59" i="4" s="1"/>
  <c r="F56" i="4"/>
  <c r="I56" i="4" s="1"/>
  <c r="E55" i="4"/>
  <c r="F55" i="4" s="1"/>
  <c r="F54" i="4"/>
  <c r="I54" i="4" s="1"/>
  <c r="F53" i="4"/>
  <c r="L53" i="4" s="1"/>
  <c r="F48" i="4"/>
  <c r="I48" i="4" s="1"/>
  <c r="E47" i="4"/>
  <c r="F47" i="4" s="1"/>
  <c r="F46" i="4"/>
  <c r="I46" i="4" s="1"/>
  <c r="AC31" i="4"/>
  <c r="AB31" i="4"/>
  <c r="AA31" i="4"/>
  <c r="Z31" i="4"/>
  <c r="Y31" i="4"/>
  <c r="X31" i="4"/>
  <c r="W31" i="4"/>
  <c r="V31" i="4"/>
  <c r="U31" i="4"/>
  <c r="T31" i="4"/>
  <c r="S31" i="4"/>
  <c r="R31" i="4"/>
  <c r="Q31" i="4"/>
  <c r="P31" i="4"/>
  <c r="O31" i="4"/>
  <c r="M31" i="4"/>
  <c r="AC30" i="4"/>
  <c r="AB30" i="4"/>
  <c r="AA30" i="4"/>
  <c r="Z30" i="4"/>
  <c r="Y30" i="4"/>
  <c r="X30" i="4"/>
  <c r="W30" i="4"/>
  <c r="V30" i="4"/>
  <c r="U30" i="4"/>
  <c r="T30" i="4"/>
  <c r="S30" i="4"/>
  <c r="R30" i="4"/>
  <c r="Q30" i="4"/>
  <c r="P30" i="4"/>
  <c r="O30" i="4"/>
  <c r="M30" i="4"/>
  <c r="S29" i="4"/>
  <c r="R29" i="4"/>
  <c r="Q29" i="4"/>
  <c r="P29" i="4"/>
  <c r="O29" i="4"/>
  <c r="J29" i="4"/>
  <c r="T29" i="4" s="1"/>
  <c r="AC28" i="4"/>
  <c r="AB28" i="4"/>
  <c r="AA28" i="4"/>
  <c r="Z28" i="4"/>
  <c r="Y28" i="4"/>
  <c r="X28" i="4"/>
  <c r="W28" i="4"/>
  <c r="V28" i="4"/>
  <c r="U28" i="4"/>
  <c r="T28" i="4"/>
  <c r="S28" i="4"/>
  <c r="R28" i="4"/>
  <c r="Q28" i="4"/>
  <c r="P28" i="4"/>
  <c r="O28" i="4"/>
  <c r="AC27" i="4"/>
  <c r="AB27" i="4"/>
  <c r="AA27" i="4"/>
  <c r="Z27" i="4"/>
  <c r="Y27" i="4"/>
  <c r="X27" i="4"/>
  <c r="W27" i="4"/>
  <c r="V27" i="4"/>
  <c r="U27" i="4"/>
  <c r="T27" i="4"/>
  <c r="S27" i="4"/>
  <c r="R27" i="4"/>
  <c r="Q27" i="4"/>
  <c r="P27" i="4"/>
  <c r="O27" i="4"/>
  <c r="M27" i="4"/>
  <c r="AB26" i="4"/>
  <c r="T26" i="4"/>
  <c r="Q26" i="4"/>
  <c r="X25" i="4"/>
  <c r="W25" i="4"/>
  <c r="V25" i="4"/>
  <c r="U25" i="4"/>
  <c r="T25" i="4"/>
  <c r="S25" i="4"/>
  <c r="R25" i="4"/>
  <c r="Q25" i="4"/>
  <c r="P25" i="4"/>
  <c r="O25" i="4"/>
  <c r="K25" i="4"/>
  <c r="AA25" i="4" s="1"/>
  <c r="S24" i="4"/>
  <c r="R24" i="4"/>
  <c r="Q24" i="4"/>
  <c r="P24" i="4"/>
  <c r="O24" i="4"/>
  <c r="I24" i="4"/>
  <c r="V24" i="4" s="1"/>
  <c r="S23" i="4"/>
  <c r="R23" i="4"/>
  <c r="Q23" i="4"/>
  <c r="P23" i="4"/>
  <c r="O23" i="4"/>
  <c r="I23" i="4"/>
  <c r="W23" i="4" s="1"/>
  <c r="H22" i="4"/>
  <c r="AC21" i="4"/>
  <c r="AB21" i="4"/>
  <c r="AA21" i="4"/>
  <c r="Z21" i="4"/>
  <c r="Y21" i="4"/>
  <c r="X21" i="4"/>
  <c r="W21" i="4"/>
  <c r="V21" i="4"/>
  <c r="U21" i="4"/>
  <c r="T21" i="4"/>
  <c r="S21" i="4"/>
  <c r="R21" i="4"/>
  <c r="Q21" i="4"/>
  <c r="P21" i="4"/>
  <c r="O21" i="4"/>
  <c r="M21" i="4"/>
  <c r="AC20" i="4"/>
  <c r="AB20" i="4"/>
  <c r="AA20" i="4"/>
  <c r="Z20" i="4"/>
  <c r="Y20" i="4"/>
  <c r="X20" i="4"/>
  <c r="W20" i="4"/>
  <c r="V20" i="4"/>
  <c r="U20" i="4"/>
  <c r="T20" i="4"/>
  <c r="S20" i="4"/>
  <c r="R20" i="4"/>
  <c r="Q20" i="4"/>
  <c r="P20" i="4"/>
  <c r="AC19" i="4"/>
  <c r="AB19" i="4"/>
  <c r="AA19" i="4"/>
  <c r="Z19" i="4"/>
  <c r="Y19" i="4"/>
  <c r="X19" i="4"/>
  <c r="W19" i="4"/>
  <c r="V19" i="4"/>
  <c r="U19" i="4"/>
  <c r="T19" i="4"/>
  <c r="S19" i="4"/>
  <c r="R19" i="4"/>
  <c r="Q19" i="4"/>
  <c r="P19" i="4"/>
  <c r="L18" i="4"/>
  <c r="Y18" i="4" s="1"/>
  <c r="J18" i="4"/>
  <c r="X18" i="4" s="1"/>
  <c r="H18" i="4"/>
  <c r="Q18" i="4" s="1"/>
  <c r="W17" i="4"/>
  <c r="L17" i="4"/>
  <c r="AB17" i="4" s="1"/>
  <c r="J17" i="4"/>
  <c r="T17" i="4" s="1"/>
  <c r="S17" i="4"/>
  <c r="AC16" i="4"/>
  <c r="AB16" i="4"/>
  <c r="AA16" i="4"/>
  <c r="Z16" i="4"/>
  <c r="Y16" i="4"/>
  <c r="X16" i="4"/>
  <c r="W16" i="4"/>
  <c r="V16" i="4"/>
  <c r="U16" i="4"/>
  <c r="T16" i="4"/>
  <c r="S16" i="4"/>
  <c r="R16" i="4"/>
  <c r="Q16" i="4"/>
  <c r="P16" i="4"/>
  <c r="Z12" i="4"/>
  <c r="U12" i="4"/>
  <c r="F12" i="4"/>
  <c r="H12" i="4" s="1"/>
  <c r="R12" i="4" s="1"/>
  <c r="Y11" i="4"/>
  <c r="T11" i="4"/>
  <c r="F11" i="4"/>
  <c r="H11" i="4" s="1"/>
  <c r="R11" i="4" s="1"/>
  <c r="AB10" i="4"/>
  <c r="W10" i="4"/>
  <c r="F10" i="4"/>
  <c r="H10" i="4" s="1"/>
  <c r="P10" i="4" s="1"/>
  <c r="Y9" i="4"/>
  <c r="X9" i="4"/>
  <c r="F9" i="4"/>
  <c r="H9" i="4" s="1"/>
  <c r="P9" i="4" s="1"/>
  <c r="AC8" i="4"/>
  <c r="W8" i="4"/>
  <c r="H8" i="4"/>
  <c r="O8" i="4" s="1"/>
  <c r="Z7" i="4"/>
  <c r="X7" i="4"/>
  <c r="F7" i="4"/>
  <c r="AC27" i="2"/>
  <c r="AC16" i="2"/>
  <c r="AC19" i="2"/>
  <c r="AC20" i="2"/>
  <c r="AC21" i="2"/>
  <c r="AC28" i="2"/>
  <c r="AC30" i="2"/>
  <c r="AC31" i="2"/>
  <c r="AB27" i="2"/>
  <c r="AB16" i="2"/>
  <c r="AB19" i="2"/>
  <c r="AB20" i="2"/>
  <c r="AB21" i="2"/>
  <c r="AB28" i="2"/>
  <c r="AB30" i="2"/>
  <c r="AB31" i="2"/>
  <c r="AA16" i="2"/>
  <c r="AA19" i="2"/>
  <c r="AA20" i="2"/>
  <c r="AA21" i="2"/>
  <c r="AA27" i="2"/>
  <c r="AA28" i="2"/>
  <c r="AA30" i="2"/>
  <c r="AA31" i="2"/>
  <c r="Z16" i="2"/>
  <c r="Z19" i="2"/>
  <c r="Z20" i="2"/>
  <c r="Z21" i="2"/>
  <c r="Z27" i="2"/>
  <c r="Z28" i="2"/>
  <c r="Z30" i="2"/>
  <c r="Z31" i="2"/>
  <c r="Y27" i="2"/>
  <c r="Y16" i="2"/>
  <c r="Y19" i="2"/>
  <c r="Y20" i="2"/>
  <c r="Y21" i="2"/>
  <c r="Y28" i="2"/>
  <c r="Y30" i="2"/>
  <c r="Y31" i="2"/>
  <c r="X25" i="2"/>
  <c r="X27" i="2"/>
  <c r="X31" i="2"/>
  <c r="X30" i="2"/>
  <c r="X28" i="2"/>
  <c r="X21" i="2"/>
  <c r="X20" i="2"/>
  <c r="X19" i="2"/>
  <c r="X16" i="2"/>
  <c r="W25" i="2"/>
  <c r="W27" i="2"/>
  <c r="W31" i="2"/>
  <c r="W30" i="2"/>
  <c r="W28" i="2"/>
  <c r="W21" i="2"/>
  <c r="W20" i="2"/>
  <c r="W19" i="2"/>
  <c r="W16" i="2"/>
  <c r="V25" i="2"/>
  <c r="V31" i="2"/>
  <c r="V30" i="2"/>
  <c r="V28" i="2"/>
  <c r="V27" i="2"/>
  <c r="V21" i="2"/>
  <c r="V16" i="2"/>
  <c r="V19" i="2"/>
  <c r="V20" i="2"/>
  <c r="U25" i="2"/>
  <c r="U31" i="2"/>
  <c r="U30" i="2"/>
  <c r="U28" i="2"/>
  <c r="U27" i="2"/>
  <c r="U21" i="2"/>
  <c r="U20" i="2"/>
  <c r="U19" i="2"/>
  <c r="U16" i="2"/>
  <c r="T31" i="2"/>
  <c r="T25" i="2"/>
  <c r="T27" i="2"/>
  <c r="T30" i="2"/>
  <c r="T28" i="2"/>
  <c r="T21" i="2"/>
  <c r="T20" i="2"/>
  <c r="T19" i="2"/>
  <c r="T16" i="2"/>
  <c r="P27" i="2"/>
  <c r="P23" i="2"/>
  <c r="S24" i="2"/>
  <c r="S25" i="2"/>
  <c r="S23" i="2"/>
  <c r="S16" i="2"/>
  <c r="S19" i="2"/>
  <c r="S20" i="2"/>
  <c r="S21" i="2"/>
  <c r="S27" i="2"/>
  <c r="S28" i="2"/>
  <c r="S29" i="2"/>
  <c r="S30" i="2"/>
  <c r="S31" i="2"/>
  <c r="R24" i="2"/>
  <c r="R25" i="2"/>
  <c r="R23" i="2"/>
  <c r="R16" i="2"/>
  <c r="R19" i="2"/>
  <c r="R20" i="2"/>
  <c r="R21" i="2"/>
  <c r="R27" i="2"/>
  <c r="R28" i="2"/>
  <c r="R29" i="2"/>
  <c r="R30" i="2"/>
  <c r="R31" i="2"/>
  <c r="Q24" i="2"/>
  <c r="Q25" i="2"/>
  <c r="Q23" i="2"/>
  <c r="Q16" i="2"/>
  <c r="Q19" i="2"/>
  <c r="Q20" i="2"/>
  <c r="Q21" i="2"/>
  <c r="Q27" i="2"/>
  <c r="Q28" i="2"/>
  <c r="Q29" i="2"/>
  <c r="Q30" i="2"/>
  <c r="Q31" i="2"/>
  <c r="P31" i="2"/>
  <c r="P30" i="2"/>
  <c r="P28" i="2"/>
  <c r="P24" i="2"/>
  <c r="P25" i="2"/>
  <c r="P16" i="2"/>
  <c r="P19" i="2"/>
  <c r="P20" i="2"/>
  <c r="P21" i="2"/>
  <c r="P29" i="2"/>
  <c r="M28" i="6" l="1"/>
  <c r="J11" i="6"/>
  <c r="R11" i="6"/>
  <c r="S11" i="6"/>
  <c r="S28" i="6" s="1"/>
  <c r="Q11" i="6"/>
  <c r="Q28" i="6" s="1"/>
  <c r="P11" i="6"/>
  <c r="P28" i="6" s="1"/>
  <c r="O11" i="6"/>
  <c r="O28" i="6" s="1"/>
  <c r="R28" i="6"/>
  <c r="I57" i="5"/>
  <c r="J41" i="5" s="1"/>
  <c r="G41" i="5"/>
  <c r="H7" i="5"/>
  <c r="G13" i="5"/>
  <c r="M19" i="5"/>
  <c r="Z23" i="5"/>
  <c r="Y23" i="5"/>
  <c r="AC23" i="5"/>
  <c r="AB23" i="5"/>
  <c r="L22" i="5"/>
  <c r="M22" i="5" s="1"/>
  <c r="AA23" i="5"/>
  <c r="Y24" i="5"/>
  <c r="AB24" i="5"/>
  <c r="AC24" i="5"/>
  <c r="AA24" i="5"/>
  <c r="Z24" i="5"/>
  <c r="R10" i="4"/>
  <c r="F13" i="4"/>
  <c r="R26" i="4"/>
  <c r="X11" i="4"/>
  <c r="O26" i="4"/>
  <c r="AB7" i="4"/>
  <c r="AC7" i="4"/>
  <c r="V26" i="4"/>
  <c r="AC11" i="4"/>
  <c r="AA18" i="4"/>
  <c r="V17" i="4"/>
  <c r="AB11" i="4"/>
  <c r="L46" i="4"/>
  <c r="I53" i="4"/>
  <c r="Z10" i="4"/>
  <c r="AA17" i="4"/>
  <c r="X24" i="4"/>
  <c r="Y12" i="4"/>
  <c r="AA10" i="4"/>
  <c r="Y10" i="4"/>
  <c r="Z8" i="4"/>
  <c r="K23" i="4"/>
  <c r="Z23" i="4" s="1"/>
  <c r="S26" i="4"/>
  <c r="V29" i="4"/>
  <c r="U10" i="4"/>
  <c r="AA11" i="4"/>
  <c r="AC9" i="4"/>
  <c r="Y8" i="4"/>
  <c r="AB25" i="4"/>
  <c r="L54" i="4"/>
  <c r="AC12" i="4"/>
  <c r="Z11" i="4"/>
  <c r="AB9" i="4"/>
  <c r="M17" i="4"/>
  <c r="X17" i="4"/>
  <c r="AC25" i="4"/>
  <c r="L29" i="4"/>
  <c r="AB29" i="4" s="1"/>
  <c r="AB12" i="4"/>
  <c r="AA9" i="4"/>
  <c r="Y17" i="4"/>
  <c r="AA12" i="4"/>
  <c r="AC10" i="4"/>
  <c r="Z9" i="4"/>
  <c r="Z17" i="4"/>
  <c r="T7" i="4"/>
  <c r="R8" i="4"/>
  <c r="O12" i="4"/>
  <c r="Q12" i="4"/>
  <c r="S10" i="4"/>
  <c r="T12" i="4"/>
  <c r="V10" i="4"/>
  <c r="Q11" i="4"/>
  <c r="O10" i="4"/>
  <c r="Q10" i="4"/>
  <c r="S9" i="4"/>
  <c r="W11" i="4"/>
  <c r="T10" i="4"/>
  <c r="O9" i="4"/>
  <c r="Q9" i="4"/>
  <c r="R9" i="4"/>
  <c r="V11" i="4"/>
  <c r="O11" i="4"/>
  <c r="J13" i="4"/>
  <c r="P12" i="4"/>
  <c r="S12" i="4"/>
  <c r="X12" i="4"/>
  <c r="U11" i="4"/>
  <c r="W9" i="4"/>
  <c r="P11" i="4"/>
  <c r="W12" i="4"/>
  <c r="V9" i="4"/>
  <c r="S11" i="4"/>
  <c r="V12" i="4"/>
  <c r="X10" i="4"/>
  <c r="U9" i="4"/>
  <c r="Q8" i="4"/>
  <c r="T9" i="4"/>
  <c r="L55" i="4"/>
  <c r="I55" i="4"/>
  <c r="F57" i="4"/>
  <c r="L47" i="4"/>
  <c r="I47" i="4"/>
  <c r="I49" i="4" s="1"/>
  <c r="F49" i="4"/>
  <c r="AA7" i="4"/>
  <c r="P8" i="4"/>
  <c r="X8" i="4"/>
  <c r="U17" i="4"/>
  <c r="AC17" i="4"/>
  <c r="R18" i="4"/>
  <c r="Z18" i="4"/>
  <c r="X23" i="4"/>
  <c r="W24" i="4"/>
  <c r="U26" i="4"/>
  <c r="AC26" i="4"/>
  <c r="U29" i="4"/>
  <c r="L48" i="4"/>
  <c r="L56" i="4"/>
  <c r="U7" i="4"/>
  <c r="L13" i="4"/>
  <c r="O17" i="4"/>
  <c r="T18" i="4"/>
  <c r="AB18" i="4"/>
  <c r="J22" i="4"/>
  <c r="Y25" i="4"/>
  <c r="W26" i="4"/>
  <c r="W29" i="4"/>
  <c r="V7" i="4"/>
  <c r="S8" i="4"/>
  <c r="AA8" i="4"/>
  <c r="P17" i="4"/>
  <c r="U18" i="4"/>
  <c r="AC18" i="4"/>
  <c r="Z25" i="4"/>
  <c r="P26" i="4"/>
  <c r="X26" i="4"/>
  <c r="X29" i="4"/>
  <c r="W7" i="4"/>
  <c r="T8" i="4"/>
  <c r="AB8" i="4"/>
  <c r="Q17" i="4"/>
  <c r="M18" i="4"/>
  <c r="M19" i="4" s="1"/>
  <c r="V18" i="4"/>
  <c r="T23" i="4"/>
  <c r="Y26" i="4"/>
  <c r="U8" i="4"/>
  <c r="R17" i="4"/>
  <c r="O18" i="4"/>
  <c r="W18" i="4"/>
  <c r="U23" i="4"/>
  <c r="T24" i="4"/>
  <c r="Z26" i="4"/>
  <c r="S18" i="4"/>
  <c r="Y7" i="4"/>
  <c r="V8" i="4"/>
  <c r="P18" i="4"/>
  <c r="V23" i="4"/>
  <c r="U24" i="4"/>
  <c r="AA26" i="4"/>
  <c r="K24" i="4"/>
  <c r="O24" i="2"/>
  <c r="O25" i="2"/>
  <c r="O23" i="2"/>
  <c r="O31" i="2"/>
  <c r="O30" i="2"/>
  <c r="O29" i="2"/>
  <c r="O28" i="2"/>
  <c r="O27" i="2"/>
  <c r="O21" i="2"/>
  <c r="M27" i="2"/>
  <c r="AB12" i="2"/>
  <c r="AA11" i="2"/>
  <c r="Z10" i="2"/>
  <c r="Y9" i="2"/>
  <c r="W12" i="2"/>
  <c r="V11" i="2"/>
  <c r="U10" i="2"/>
  <c r="T9" i="2"/>
  <c r="H8" i="2"/>
  <c r="F12" i="2"/>
  <c r="H12" i="2" s="1"/>
  <c r="R12" i="2" s="1"/>
  <c r="F11" i="2"/>
  <c r="H11" i="2" s="1"/>
  <c r="Q11" i="2" s="1"/>
  <c r="F10" i="2"/>
  <c r="H10" i="2" s="1"/>
  <c r="P10" i="2" s="1"/>
  <c r="F9" i="2"/>
  <c r="H9" i="2" s="1"/>
  <c r="O9" i="2" s="1"/>
  <c r="F7" i="2"/>
  <c r="K26" i="2"/>
  <c r="E26" i="2"/>
  <c r="H22" i="2" s="1"/>
  <c r="I26" i="2"/>
  <c r="L18" i="2"/>
  <c r="J18" i="2"/>
  <c r="AB23" i="4" l="1"/>
  <c r="S33" i="6"/>
  <c r="O29" i="6"/>
  <c r="O30" i="6" s="1"/>
  <c r="P29" i="6"/>
  <c r="P30" i="6" s="1"/>
  <c r="Q29" i="6"/>
  <c r="Q30" i="6" s="1"/>
  <c r="S29" i="6"/>
  <c r="S30" i="6" s="1"/>
  <c r="R29" i="6"/>
  <c r="R30" i="6" s="1"/>
  <c r="U11" i="6"/>
  <c r="U28" i="6" s="1"/>
  <c r="L11" i="6"/>
  <c r="W11" i="6"/>
  <c r="W28" i="6" s="1"/>
  <c r="T11" i="6"/>
  <c r="T28" i="6" s="1"/>
  <c r="X11" i="6"/>
  <c r="X28" i="6" s="1"/>
  <c r="V11" i="6"/>
  <c r="V28" i="6" s="1"/>
  <c r="M29" i="6"/>
  <c r="M30" i="6" s="1"/>
  <c r="N41" i="5"/>
  <c r="M15" i="5" s="1"/>
  <c r="H15" i="5"/>
  <c r="H13" i="5"/>
  <c r="M13" i="5" s="1"/>
  <c r="M32" i="5" s="1"/>
  <c r="R7" i="5"/>
  <c r="O7" i="5"/>
  <c r="S7" i="5"/>
  <c r="Q7" i="5"/>
  <c r="P7" i="5"/>
  <c r="AA23" i="4"/>
  <c r="I57" i="4"/>
  <c r="L49" i="4"/>
  <c r="L57" i="4"/>
  <c r="M41" i="4" s="1"/>
  <c r="AC23" i="4"/>
  <c r="Y23" i="4"/>
  <c r="G41" i="4"/>
  <c r="H15" i="4" s="1"/>
  <c r="AA29" i="4"/>
  <c r="Z29" i="4"/>
  <c r="Y29" i="4"/>
  <c r="AC29" i="4"/>
  <c r="J41" i="4"/>
  <c r="AC24" i="4"/>
  <c r="AB24" i="4"/>
  <c r="AA24" i="4"/>
  <c r="Z24" i="4"/>
  <c r="Y24" i="4"/>
  <c r="L22" i="4"/>
  <c r="M22" i="4" s="1"/>
  <c r="G13" i="4"/>
  <c r="H7" i="4"/>
  <c r="U18" i="2"/>
  <c r="X18" i="2"/>
  <c r="V18" i="2"/>
  <c r="T18" i="2"/>
  <c r="W18" i="2"/>
  <c r="T26" i="2"/>
  <c r="X26" i="2"/>
  <c r="W26" i="2"/>
  <c r="V26" i="2"/>
  <c r="U26" i="2"/>
  <c r="O18" i="2"/>
  <c r="Q18" i="2"/>
  <c r="R18" i="2"/>
  <c r="S18" i="2"/>
  <c r="P18" i="2"/>
  <c r="Q26" i="2"/>
  <c r="S26" i="2"/>
  <c r="P26" i="2"/>
  <c r="R26" i="2"/>
  <c r="AC8" i="2"/>
  <c r="AB8" i="2"/>
  <c r="AA8" i="2"/>
  <c r="Z8" i="2"/>
  <c r="Y8" i="2"/>
  <c r="Z18" i="2"/>
  <c r="Y18" i="2"/>
  <c r="AA18" i="2"/>
  <c r="AC18" i="2"/>
  <c r="AB18" i="2"/>
  <c r="AA26" i="2"/>
  <c r="AC26" i="2"/>
  <c r="AB26" i="2"/>
  <c r="Z26" i="2"/>
  <c r="Y26" i="2"/>
  <c r="O26" i="2"/>
  <c r="X8" i="2"/>
  <c r="W8" i="2"/>
  <c r="U8" i="2"/>
  <c r="T8" i="2"/>
  <c r="V8" i="2"/>
  <c r="R8" i="2"/>
  <c r="S8" i="2"/>
  <c r="P8" i="2"/>
  <c r="O8" i="2"/>
  <c r="Q8" i="2"/>
  <c r="F13" i="2"/>
  <c r="F46" i="2"/>
  <c r="I46" i="2" s="1"/>
  <c r="E47" i="2"/>
  <c r="F47" i="2" s="1"/>
  <c r="L47" i="2" s="1"/>
  <c r="F48" i="2"/>
  <c r="I48" i="2" s="1"/>
  <c r="F53" i="2"/>
  <c r="I53" i="2" s="1"/>
  <c r="F54" i="2"/>
  <c r="L54" i="2" s="1"/>
  <c r="E55" i="2"/>
  <c r="F55" i="2" s="1"/>
  <c r="L55" i="2" s="1"/>
  <c r="F56" i="2"/>
  <c r="L56" i="2" s="1"/>
  <c r="F59" i="2"/>
  <c r="I59" i="2" s="1"/>
  <c r="L59" i="2" s="1"/>
  <c r="G13" i="2"/>
  <c r="L17" i="2"/>
  <c r="J17" i="2"/>
  <c r="H17" i="2"/>
  <c r="M31" i="2"/>
  <c r="M30" i="2"/>
  <c r="M21" i="2"/>
  <c r="R31" i="6" l="1"/>
  <c r="Q31" i="6"/>
  <c r="O31" i="6"/>
  <c r="S31" i="6"/>
  <c r="X29" i="6"/>
  <c r="X30" i="6" s="1"/>
  <c r="AC11" i="6"/>
  <c r="AC28" i="6" s="1"/>
  <c r="AB11" i="6"/>
  <c r="AB28" i="6" s="1"/>
  <c r="AA11" i="6"/>
  <c r="AA28" i="6" s="1"/>
  <c r="Z11" i="6"/>
  <c r="Z28" i="6" s="1"/>
  <c r="Y11" i="6"/>
  <c r="Y28" i="6" s="1"/>
  <c r="T29" i="6"/>
  <c r="T30" i="6" s="1"/>
  <c r="X33" i="6"/>
  <c r="W29" i="6"/>
  <c r="W30" i="6"/>
  <c r="P31" i="6"/>
  <c r="U29" i="6"/>
  <c r="U30" i="6" s="1"/>
  <c r="V29" i="6"/>
  <c r="V30" i="6" s="1"/>
  <c r="P15" i="5"/>
  <c r="R15" i="5"/>
  <c r="R32" i="5" s="1"/>
  <c r="Q15" i="5"/>
  <c r="Q32" i="5" s="1"/>
  <c r="Q33" i="5" s="1"/>
  <c r="Q34" i="5" s="1"/>
  <c r="S15" i="5"/>
  <c r="S32" i="5" s="1"/>
  <c r="O15" i="5"/>
  <c r="O32" i="5" s="1"/>
  <c r="J15" i="5"/>
  <c r="P32" i="5"/>
  <c r="P33" i="5" s="1"/>
  <c r="P34" i="5" s="1"/>
  <c r="M33" i="5"/>
  <c r="M34" i="5" s="1"/>
  <c r="N41" i="4"/>
  <c r="M15" i="4" s="1"/>
  <c r="R7" i="4"/>
  <c r="Q7" i="4"/>
  <c r="P7" i="4"/>
  <c r="O7" i="4"/>
  <c r="O32" i="4" s="1"/>
  <c r="H13" i="4"/>
  <c r="M13" i="4" s="1"/>
  <c r="M32" i="4" s="1"/>
  <c r="S7" i="4"/>
  <c r="J15" i="4"/>
  <c r="S15" i="4"/>
  <c r="R15" i="4"/>
  <c r="Q15" i="4"/>
  <c r="O15" i="4"/>
  <c r="P15" i="4"/>
  <c r="J13" i="2"/>
  <c r="W7" i="2"/>
  <c r="V7" i="2"/>
  <c r="U7" i="2"/>
  <c r="T7" i="2"/>
  <c r="X7" i="2"/>
  <c r="L13" i="2"/>
  <c r="Y7" i="2"/>
  <c r="AC7" i="2"/>
  <c r="AB7" i="2"/>
  <c r="AA7" i="2"/>
  <c r="Z7" i="2"/>
  <c r="O17" i="2"/>
  <c r="Q17" i="2"/>
  <c r="R17" i="2"/>
  <c r="S17" i="2"/>
  <c r="P17" i="2"/>
  <c r="Z17" i="2"/>
  <c r="Y17" i="2"/>
  <c r="AA17" i="2"/>
  <c r="AB17" i="2"/>
  <c r="AC17" i="2"/>
  <c r="T17" i="2"/>
  <c r="U17" i="2"/>
  <c r="X17" i="2"/>
  <c r="V17" i="2"/>
  <c r="W17" i="2"/>
  <c r="I56" i="2"/>
  <c r="L53" i="2"/>
  <c r="L57" i="2" s="1"/>
  <c r="H7" i="2"/>
  <c r="I55" i="2"/>
  <c r="I54" i="2"/>
  <c r="L46" i="2"/>
  <c r="I47" i="2"/>
  <c r="I49" i="2" s="1"/>
  <c r="M17" i="2"/>
  <c r="F57" i="2"/>
  <c r="F49" i="2"/>
  <c r="L48" i="2"/>
  <c r="M18" i="2"/>
  <c r="I24" i="2"/>
  <c r="I23" i="2"/>
  <c r="X31" i="6" l="1"/>
  <c r="T31" i="6"/>
  <c r="AA29" i="6"/>
  <c r="AA30" i="6" s="1"/>
  <c r="AB29" i="6"/>
  <c r="AB30" i="6" s="1"/>
  <c r="AC29" i="6"/>
  <c r="AC30" i="6" s="1"/>
  <c r="U31" i="6"/>
  <c r="W31" i="6"/>
  <c r="V31" i="6"/>
  <c r="AC33" i="6"/>
  <c r="Y29" i="6"/>
  <c r="Y30" i="6" s="1"/>
  <c r="Z29" i="6"/>
  <c r="Z30" i="6" s="1"/>
  <c r="O33" i="5"/>
  <c r="O34" i="5" s="1"/>
  <c r="S37" i="5"/>
  <c r="S33" i="5"/>
  <c r="S34" i="5" s="1"/>
  <c r="R33" i="5"/>
  <c r="R34" i="5" s="1"/>
  <c r="V15" i="5"/>
  <c r="V32" i="5" s="1"/>
  <c r="V33" i="5" s="1"/>
  <c r="V34" i="5" s="1"/>
  <c r="X15" i="5"/>
  <c r="X32" i="5" s="1"/>
  <c r="X33" i="5" s="1"/>
  <c r="X34" i="5" s="1"/>
  <c r="W15" i="5"/>
  <c r="W32" i="5" s="1"/>
  <c r="W33" i="5" s="1"/>
  <c r="W34" i="5" s="1"/>
  <c r="T15" i="5"/>
  <c r="T32" i="5" s="1"/>
  <c r="L15" i="5"/>
  <c r="U15" i="5"/>
  <c r="U32" i="5" s="1"/>
  <c r="U33" i="5" s="1"/>
  <c r="U34" i="5" s="1"/>
  <c r="I57" i="2"/>
  <c r="S32" i="4"/>
  <c r="S33" i="4" s="1"/>
  <c r="S34" i="4" s="1"/>
  <c r="Q32" i="4"/>
  <c r="R32" i="4"/>
  <c r="M33" i="4"/>
  <c r="M34" i="4" s="1"/>
  <c r="U15" i="4"/>
  <c r="U32" i="4" s="1"/>
  <c r="L15" i="4"/>
  <c r="T15" i="4"/>
  <c r="T32" i="4" s="1"/>
  <c r="X15" i="4"/>
  <c r="X32" i="4" s="1"/>
  <c r="V15" i="4"/>
  <c r="V32" i="4" s="1"/>
  <c r="W15" i="4"/>
  <c r="W32" i="4" s="1"/>
  <c r="O33" i="4"/>
  <c r="O34" i="4" s="1"/>
  <c r="P32" i="4"/>
  <c r="J22" i="2"/>
  <c r="X23" i="2"/>
  <c r="T23" i="2"/>
  <c r="W23" i="2"/>
  <c r="V23" i="2"/>
  <c r="U23" i="2"/>
  <c r="P7" i="2"/>
  <c r="Q7" i="2"/>
  <c r="W24" i="2"/>
  <c r="X24" i="2"/>
  <c r="V24" i="2"/>
  <c r="U24" i="2"/>
  <c r="T24" i="2"/>
  <c r="H13" i="2"/>
  <c r="M13" i="2" s="1"/>
  <c r="O7" i="2"/>
  <c r="R7" i="2"/>
  <c r="S7" i="2"/>
  <c r="J41" i="2"/>
  <c r="L49" i="2"/>
  <c r="M41" i="2" s="1"/>
  <c r="M19" i="2"/>
  <c r="G41" i="2"/>
  <c r="H15" i="2" s="1"/>
  <c r="K24" i="2"/>
  <c r="K25" i="2"/>
  <c r="K23" i="2"/>
  <c r="J29" i="2"/>
  <c r="AC31" i="6" l="1"/>
  <c r="AB31" i="6"/>
  <c r="Z31" i="6"/>
  <c r="AA31" i="6"/>
  <c r="Y31" i="6"/>
  <c r="R35" i="5"/>
  <c r="Q35" i="5"/>
  <c r="S35" i="5"/>
  <c r="P35" i="5"/>
  <c r="X37" i="5"/>
  <c r="T33" i="5"/>
  <c r="T34" i="5" s="1"/>
  <c r="T35" i="5" s="1"/>
  <c r="Z15" i="5"/>
  <c r="Z32" i="5" s="1"/>
  <c r="Z33" i="5" s="1"/>
  <c r="Z34" i="5" s="1"/>
  <c r="Y15" i="5"/>
  <c r="Y32" i="5" s="1"/>
  <c r="AC15" i="5"/>
  <c r="AC32" i="5" s="1"/>
  <c r="AC33" i="5" s="1"/>
  <c r="AC34" i="5" s="1"/>
  <c r="AB15" i="5"/>
  <c r="AB32" i="5" s="1"/>
  <c r="AB33" i="5" s="1"/>
  <c r="AB34" i="5" s="1"/>
  <c r="AA15" i="5"/>
  <c r="AA32" i="5" s="1"/>
  <c r="AA33" i="5" s="1"/>
  <c r="AA34" i="5" s="1"/>
  <c r="O35" i="5"/>
  <c r="S37" i="4"/>
  <c r="T33" i="4"/>
  <c r="T34" i="4" s="1"/>
  <c r="X37" i="4"/>
  <c r="Q33" i="4"/>
  <c r="Q34" i="4" s="1"/>
  <c r="P33" i="4"/>
  <c r="P34" i="4" s="1"/>
  <c r="AC15" i="4"/>
  <c r="AC32" i="4" s="1"/>
  <c r="AB15" i="4"/>
  <c r="AB32" i="4" s="1"/>
  <c r="AA15" i="4"/>
  <c r="AA32" i="4" s="1"/>
  <c r="Z15" i="4"/>
  <c r="Z32" i="4" s="1"/>
  <c r="Y15" i="4"/>
  <c r="Y32" i="4" s="1"/>
  <c r="U33" i="4"/>
  <c r="U34" i="4" s="1"/>
  <c r="X33" i="4"/>
  <c r="X34" i="4" s="1"/>
  <c r="W33" i="4"/>
  <c r="W34" i="4" s="1"/>
  <c r="V33" i="4"/>
  <c r="V34" i="4" s="1"/>
  <c r="R33" i="4"/>
  <c r="R34" i="4" s="1"/>
  <c r="L22" i="2"/>
  <c r="M22" i="2" s="1"/>
  <c r="Z23" i="2"/>
  <c r="Y23" i="2"/>
  <c r="AA23" i="2"/>
  <c r="AB23" i="2"/>
  <c r="AC23" i="2"/>
  <c r="AC24" i="2"/>
  <c r="AB24" i="2"/>
  <c r="Y24" i="2"/>
  <c r="Z24" i="2"/>
  <c r="AA24" i="2"/>
  <c r="AB25" i="2"/>
  <c r="AC25" i="2"/>
  <c r="Y25" i="2"/>
  <c r="AA25" i="2"/>
  <c r="Z25" i="2"/>
  <c r="L29" i="2"/>
  <c r="X29" i="2"/>
  <c r="T29" i="2"/>
  <c r="W29" i="2"/>
  <c r="U29" i="2"/>
  <c r="V29" i="2"/>
  <c r="P15" i="2"/>
  <c r="P32" i="2" s="1"/>
  <c r="P33" i="2" s="1"/>
  <c r="P34" i="2" s="1"/>
  <c r="S15" i="2"/>
  <c r="S32" i="2" s="1"/>
  <c r="S33" i="2" s="1"/>
  <c r="S34" i="2" s="1"/>
  <c r="Q15" i="2"/>
  <c r="Q32" i="2" s="1"/>
  <c r="R15" i="2"/>
  <c r="R32" i="2" s="1"/>
  <c r="R33" i="2" s="1"/>
  <c r="R34" i="2" s="1"/>
  <c r="O15" i="2"/>
  <c r="O32" i="2" s="1"/>
  <c r="N41" i="2"/>
  <c r="M15" i="2" s="1"/>
  <c r="M32" i="2" s="1"/>
  <c r="J15" i="2"/>
  <c r="AC37" i="5" l="1"/>
  <c r="Y33" i="5"/>
  <c r="Y34" i="5" s="1"/>
  <c r="U35" i="5"/>
  <c r="X35" i="5"/>
  <c r="W35" i="5"/>
  <c r="V35" i="5"/>
  <c r="S37" i="2"/>
  <c r="X35" i="4"/>
  <c r="V35" i="4"/>
  <c r="T35" i="4"/>
  <c r="W35" i="4"/>
  <c r="P35" i="4"/>
  <c r="S35" i="4"/>
  <c r="O35" i="4"/>
  <c r="Q35" i="4"/>
  <c r="R35" i="4"/>
  <c r="Y33" i="4"/>
  <c r="Y34" i="4" s="1"/>
  <c r="AC37" i="4"/>
  <c r="Z33" i="4"/>
  <c r="Z34" i="4" s="1"/>
  <c r="U35" i="4"/>
  <c r="AA33" i="4"/>
  <c r="AA34" i="4" s="1"/>
  <c r="AB33" i="4"/>
  <c r="AB34" i="4" s="1"/>
  <c r="AC33" i="4"/>
  <c r="AC34" i="4" s="1"/>
  <c r="Y29" i="2"/>
  <c r="Z29" i="2"/>
  <c r="AA29" i="2"/>
  <c r="AB29" i="2"/>
  <c r="AC29" i="2"/>
  <c r="T15" i="2"/>
  <c r="T32" i="2" s="1"/>
  <c r="X15" i="2"/>
  <c r="X32" i="2" s="1"/>
  <c r="X33" i="2" s="1"/>
  <c r="X34" i="2" s="1"/>
  <c r="W15" i="2"/>
  <c r="W32" i="2" s="1"/>
  <c r="W33" i="2" s="1"/>
  <c r="W34" i="2" s="1"/>
  <c r="V15" i="2"/>
  <c r="V32" i="2" s="1"/>
  <c r="V33" i="2" s="1"/>
  <c r="V34" i="2" s="1"/>
  <c r="U15" i="2"/>
  <c r="U32" i="2" s="1"/>
  <c r="U33" i="2" s="1"/>
  <c r="U34" i="2" s="1"/>
  <c r="Q33" i="2"/>
  <c r="Q34" i="2" s="1"/>
  <c r="O33" i="2"/>
  <c r="O34" i="2" s="1"/>
  <c r="L15" i="2"/>
  <c r="Y35" i="5" l="1"/>
  <c r="Z35" i="5"/>
  <c r="AA35" i="5"/>
  <c r="AC35" i="5"/>
  <c r="AB35" i="5"/>
  <c r="O35" i="2"/>
  <c r="T33" i="2"/>
  <c r="T34" i="2" s="1"/>
  <c r="T35" i="2" s="1"/>
  <c r="X37" i="2"/>
  <c r="Q35" i="2"/>
  <c r="R35" i="2"/>
  <c r="P35" i="2"/>
  <c r="S35" i="2"/>
  <c r="Y35" i="4"/>
  <c r="AC35" i="4"/>
  <c r="AB35" i="4"/>
  <c r="AA35" i="4"/>
  <c r="Z35" i="4"/>
  <c r="AC15" i="2"/>
  <c r="AC32" i="2" s="1"/>
  <c r="AC33" i="2" s="1"/>
  <c r="AC34" i="2" s="1"/>
  <c r="Y15" i="2"/>
  <c r="Y32" i="2" s="1"/>
  <c r="AA15" i="2"/>
  <c r="AA32" i="2" s="1"/>
  <c r="AA33" i="2" s="1"/>
  <c r="AA34" i="2" s="1"/>
  <c r="Z15" i="2"/>
  <c r="Z32" i="2" s="1"/>
  <c r="Z33" i="2" s="1"/>
  <c r="Z34" i="2" s="1"/>
  <c r="AB15" i="2"/>
  <c r="AB32" i="2" s="1"/>
  <c r="U35" i="2" l="1"/>
  <c r="V35" i="2"/>
  <c r="X35" i="2"/>
  <c r="W35" i="2"/>
  <c r="Y33" i="2"/>
  <c r="Y34" i="2" s="1"/>
  <c r="AC37" i="2"/>
  <c r="AB33" i="2"/>
  <c r="AB34" i="2" s="1"/>
  <c r="AB35" i="2" s="1"/>
  <c r="M33" i="2"/>
  <c r="M34" i="2" s="1"/>
  <c r="Y35" i="2" l="1"/>
  <c r="AA35" i="2"/>
  <c r="Z35" i="2"/>
  <c r="AC35" i="2"/>
</calcChain>
</file>

<file path=xl/sharedStrings.xml><?xml version="1.0" encoding="utf-8"?>
<sst xmlns="http://schemas.openxmlformats.org/spreadsheetml/2006/main" count="411" uniqueCount="87">
  <si>
    <t>mileage</t>
  </si>
  <si>
    <t xml:space="preserve">PERSONNEL  </t>
  </si>
  <si>
    <t>YEAR ONE</t>
  </si>
  <si>
    <t>Trips</t>
  </si>
  <si>
    <t>Cost</t>
  </si>
  <si>
    <t>TOTAL DIRECT COSTS</t>
  </si>
  <si>
    <t>TOTAL</t>
  </si>
  <si>
    <t>Senior and Key Personnel</t>
  </si>
  <si>
    <t>Y1</t>
  </si>
  <si>
    <t>TRAVEL</t>
  </si>
  <si>
    <t>YEAR THREE</t>
  </si>
  <si>
    <t>FTE</t>
    <phoneticPr fontId="0" type="noConversion"/>
  </si>
  <si>
    <t>YEAR TWO</t>
  </si>
  <si>
    <t>perdiem rate</t>
  </si>
  <si>
    <t>No.</t>
  </si>
  <si>
    <t>Days</t>
  </si>
  <si>
    <t>Amt.</t>
  </si>
  <si>
    <t>Transportation</t>
  </si>
  <si>
    <t>Per diem + lodging</t>
  </si>
  <si>
    <t>Ground transportation</t>
  </si>
  <si>
    <t>Total</t>
  </si>
  <si>
    <t>Registration</t>
  </si>
  <si>
    <t xml:space="preserve">Rates </t>
  </si>
  <si>
    <t>roundtrip</t>
  </si>
  <si>
    <t>TBA</t>
  </si>
  <si>
    <t>Salary</t>
  </si>
  <si>
    <t>Mos.</t>
  </si>
  <si>
    <t>Proj Sal</t>
  </si>
  <si>
    <t>PARTICIPANT SUPPORT</t>
  </si>
  <si>
    <t>OTHER DIRECT COSTS</t>
  </si>
  <si>
    <t>Subaward Consultants</t>
  </si>
  <si>
    <t>Partnerships</t>
  </si>
  <si>
    <t>Alterations and Renovations</t>
  </si>
  <si>
    <t>Tuition &amp; Fees</t>
  </si>
  <si>
    <t>All Other Direct Costs</t>
  </si>
  <si>
    <t>Indirect Costs (8% MT DC-Restricted Rate)</t>
  </si>
  <si>
    <t>Totals</t>
  </si>
  <si>
    <t>Name</t>
  </si>
  <si>
    <t>Title</t>
  </si>
  <si>
    <t xml:space="preserve">Supplies and Materials </t>
  </si>
  <si>
    <t>One State Meeting Years One through Three</t>
  </si>
  <si>
    <t>Professional Conference Mtg Years One through Three-All teachers get to go one time in 3 yrs</t>
  </si>
  <si>
    <t>Domestic Travel to sites</t>
  </si>
  <si>
    <t>Domestic Travel (see table below)</t>
  </si>
  <si>
    <t>TBA External Consultant for PD</t>
  </si>
  <si>
    <t>Consortium PI</t>
  </si>
  <si>
    <t>Coordinator/Project Manager</t>
  </si>
  <si>
    <t>Year 1</t>
  </si>
  <si>
    <t>Year 2</t>
  </si>
  <si>
    <t>Year 3</t>
  </si>
  <si>
    <t>Virtual Instructional Coaching</t>
  </si>
  <si>
    <t>Professional Learning (e.g. supplies, consultants)</t>
  </si>
  <si>
    <t>Birth to K-15%</t>
  </si>
  <si>
    <t>K-5 40%</t>
  </si>
  <si>
    <t>MS-20%</t>
  </si>
  <si>
    <t>HS-20%</t>
  </si>
  <si>
    <t>5%?</t>
  </si>
  <si>
    <t>This TRUE indication ensures that the subcategory totals for each year on the right matchup with the assocated year totals on the left. If is says FALSE, then the totals do not match.</t>
  </si>
  <si>
    <t>Professional Conference Mtg Each Year for Years One through Three</t>
  </si>
  <si>
    <t>Two State Meetings per Year, Years One through Three</t>
  </si>
  <si>
    <t>District-Level PI</t>
  </si>
  <si>
    <t>Birth-K Coach</t>
  </si>
  <si>
    <t>Grades K-5 Coach</t>
  </si>
  <si>
    <t>Middle School Coach</t>
  </si>
  <si>
    <t>High School Coach</t>
  </si>
  <si>
    <t>District 1 Lead</t>
  </si>
  <si>
    <t>District 2 Lead</t>
  </si>
  <si>
    <t>District 3 Lead</t>
  </si>
  <si>
    <t>District 4 Lead</t>
  </si>
  <si>
    <t>Equipment/User Fees</t>
  </si>
  <si>
    <t>TOTAL  COSTS</t>
  </si>
  <si>
    <t>Target Total Costs:</t>
  </si>
  <si>
    <t>Professional Literacy Conference Mtg Each Year for Years One through Three</t>
  </si>
  <si>
    <t>Fringe at .25</t>
  </si>
  <si>
    <t>TBA External Consultant for PD (determined by scope of work)</t>
  </si>
  <si>
    <t>Stipends for teacher participation in local PD (time spent outside contract day)</t>
  </si>
  <si>
    <t>Substitute Reimbursement</t>
  </si>
  <si>
    <t>Stipends for teacher participation in state-wide PD (time spent outside contract day)</t>
  </si>
  <si>
    <t>YEARS ONE  - THREE  (August 1, 2018 through July 31, 2020)</t>
  </si>
  <si>
    <r>
      <t xml:space="preserve">This budget template is </t>
    </r>
    <r>
      <rPr>
        <b/>
        <u/>
        <sz val="12"/>
        <rFont val="Times New Roman"/>
        <family val="1"/>
      </rPr>
      <t>only a sample</t>
    </r>
    <r>
      <rPr>
        <sz val="12"/>
        <rFont val="Times New Roman"/>
        <family val="1"/>
      </rPr>
      <t xml:space="preserve"> to help districts and district consortia visualize the grade band funding distributions required by federal law. See the various tabs below for different scenarios.  This particular sheet is designed for a district consortium who chooses to have 25 teachers participate in the LiNK virtual coaching program. This budget shows four districts with district-based leads who help facilitate LiNK activities, including local professional learning, per district.  Federal regulations mandate that 15% of all funds are allocated to birth to Kindergarten, 40% to Kindergarten to grade 5, 20% to middle school, and 20% to high school. In this template, district lead salaries are evenly distributed across each age band with the assumption that this one lead is supporting all of their LiNK-participating teachers, birth through high school, within their district.  </t>
    </r>
  </si>
  <si>
    <t>SAMPLE BUDGET 1:  District Consortium with 25 educators in Interactive Virtual Coaching Program</t>
  </si>
  <si>
    <r>
      <t xml:space="preserve">This budget template is </t>
    </r>
    <r>
      <rPr>
        <b/>
        <u/>
        <sz val="12"/>
        <rFont val="Times New Roman"/>
        <family val="1"/>
      </rPr>
      <t xml:space="preserve">only a sample </t>
    </r>
    <r>
      <rPr>
        <sz val="12"/>
        <rFont val="Times New Roman"/>
        <family val="1"/>
      </rPr>
      <t xml:space="preserve">to help districts and district consortiuma visualize the grade band funding distributions required by federal law. See the various tabs below for different scenarios.  This particular sheet is designed for a single district who chooses to have 25 teachers participate in the LiNK virtual coaching program, and a grant PI and Coordinator who help facilitate all distict LiNK activities, including local professional learning.  Federal regulations mandate that 15% of all funds are allocated to birth to Kindergarten, 40% to Kindergarten to grade 5, 20% to middle school, and 20% to high school. In this template, all salaries are evenly distributed across each age band with the assumpltion that these employees will support all of their LiNK teachers, birth through high school, within their district. </t>
    </r>
  </si>
  <si>
    <t>SAMPLE BUDGET 2: District with 25 teachers in LiNK Interactive Virtual Coaching Program</t>
  </si>
  <si>
    <r>
      <t xml:space="preserve">This budget template is </t>
    </r>
    <r>
      <rPr>
        <b/>
        <u/>
        <sz val="12"/>
        <rFont val="Times New Roman"/>
        <family val="1"/>
      </rPr>
      <t>only a sample</t>
    </r>
    <r>
      <rPr>
        <sz val="12"/>
        <rFont val="Times New Roman"/>
        <family val="1"/>
      </rPr>
      <t xml:space="preserve"> to help districts and district consortia visualize the grade band funding distributions required by federal law. See the various tabs below for different scenarios.  This particular sheet is designed for a single district who chooses to have grade band (i.e. birth-K, K-5, middle school, and high school) expert coaches with only 5 of their teachers participating in the LiNK Interactive Virtual Coaching program, with their remaining LiNK educators being supported by grade band coaches. Federal regulations mandate that 15% of all funds are allocated to birth to Kindergarten, 40% to Kindergarten to grade 5, 20% to middle school, and 20% to high school. In this template, coach salaries are allocated to each grade band with the assumption that this one coach will support the LiNK teachers within their allocated band.  Salaries have tapering budget allocations over the course of three years (district absorbs full-time salaries) to show sustainability of LiNK activities, post-funding.</t>
    </r>
  </si>
  <si>
    <t>SAMPLE BUDGET 4: Single District with Grade Band Coaches</t>
  </si>
  <si>
    <r>
      <t xml:space="preserve">This budget template is </t>
    </r>
    <r>
      <rPr>
        <b/>
        <u/>
        <sz val="12"/>
        <rFont val="Times New Roman"/>
        <family val="1"/>
      </rPr>
      <t>only a sample</t>
    </r>
    <r>
      <rPr>
        <sz val="12"/>
        <rFont val="Times New Roman"/>
        <family val="1"/>
      </rPr>
      <t xml:space="preserve"> to help districts and district consortia visualize the grade band funding distributions required by federal law. See the various tabs below for different scenarios.  This particular sheet is designed for a district consortium who chooses to have only 5 teachers participate in the LiNK Virtual Instructional Coaching program.  This budget reflects Grade Band (i.e. birth-K, K-5, middle school, and high school) expert coaches who will cover all consortium needs within their grade band.  Federal regulations mandate that 15% of all funds are allocated to birth to Kindergarten, 40% to Kindergarten to grade 5, 20% to middle school, and 20% to high school. In this template, coach salaries are allocated to each grade band with the assumption that this one coach will support the LiNK teachers within their allocated band. Salaries have tapering budget allocations over the course of three years (district absorb salaries) to show sustainability of LiNK activities, post-funding.</t>
    </r>
  </si>
  <si>
    <t>SAMPLE BUDGET 3: District Consortium with Grade Band Coaches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</si>
</sst>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164" formatCode="&quot;$&quot;#,##0.00"/>
    <numFmt numFmtId="165" formatCode="&quot;$&quot;#,##0"/>
    <numFmt numFmtId="166" formatCode="#"/>
    <numFmt numFmtId="167" formatCode="0.0"/>
    <numFmt numFmtId="168" formatCode="&quot;$&quot;#,##0.0000"/>
  </numFmts>
  <fonts count="39" x14ac:knownFonts="1">
    <font>
      <sz val="10"/>
      <name val="Verdana"/>
    </font>
    <font>
      <sz val="10"/>
      <name val="Verdana"/>
      <family val="2"/>
    </font>
    <font>
      <sz val="12"/>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Verdana"/>
      <family val="2"/>
    </font>
    <font>
      <u/>
      <sz val="10"/>
      <color theme="11"/>
      <name val="Verdana"/>
      <family val="2"/>
    </font>
    <font>
      <sz val="12"/>
      <name val="Times New Roman"/>
      <family val="1"/>
    </font>
    <font>
      <b/>
      <sz val="12"/>
      <name val="Times New Roman"/>
      <family val="1"/>
    </font>
    <font>
      <sz val="12"/>
      <color rgb="FFFF0000"/>
      <name val="Times New Roman"/>
      <family val="1"/>
    </font>
    <font>
      <b/>
      <sz val="12"/>
      <color theme="0"/>
      <name val="Times New Roman"/>
      <family val="1"/>
    </font>
    <font>
      <u/>
      <sz val="12"/>
      <name val="Times New Roman"/>
      <family val="1"/>
    </font>
    <font>
      <i/>
      <sz val="12"/>
      <name val="Times New Roman"/>
      <family val="1"/>
    </font>
    <font>
      <sz val="12"/>
      <name val="Verdana"/>
      <family val="2"/>
    </font>
    <font>
      <sz val="12"/>
      <color theme="0"/>
      <name val="Times New Roman"/>
      <family val="1"/>
    </font>
    <font>
      <b/>
      <i/>
      <sz val="12"/>
      <name val="Times New Roman"/>
      <family val="1"/>
    </font>
    <font>
      <i/>
      <u/>
      <sz val="12"/>
      <name val="Times New Roman"/>
      <family val="1"/>
    </font>
    <font>
      <i/>
      <sz val="11"/>
      <name val="Times New Roman"/>
      <family val="1"/>
    </font>
    <font>
      <b/>
      <u/>
      <sz val="12"/>
      <color theme="1"/>
      <name val="Times New Roman"/>
      <family val="1"/>
    </font>
    <font>
      <sz val="12"/>
      <color theme="1"/>
      <name val="Times New Roman"/>
      <family val="1"/>
    </font>
    <font>
      <b/>
      <sz val="12"/>
      <color theme="1"/>
      <name val="Times New Roman"/>
      <family val="1"/>
    </font>
    <font>
      <u/>
      <sz val="12"/>
      <color theme="1"/>
      <name val="Times New Roman"/>
      <family val="1"/>
    </font>
    <font>
      <sz val="10"/>
      <name val="Verdana"/>
      <family val="2"/>
    </font>
    <font>
      <b/>
      <u/>
      <sz val="12"/>
      <name val="Times New Roman"/>
      <family val="1"/>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auto="1"/>
      </top>
      <bottom/>
      <diagonal/>
    </border>
    <border>
      <left/>
      <right/>
      <top/>
      <bottom style="thin">
        <color auto="1"/>
      </bottom>
      <diagonal/>
    </border>
    <border>
      <left style="hair">
        <color auto="1"/>
      </left>
      <right style="hair">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hair">
        <color auto="1"/>
      </left>
      <right style="hair">
        <color auto="1"/>
      </right>
      <top/>
      <bottom style="thin">
        <color auto="1"/>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diagonal/>
    </border>
    <border>
      <left/>
      <right style="thin">
        <color indexed="22"/>
      </right>
      <top/>
      <bottom/>
      <diagonal/>
    </border>
    <border>
      <left style="thin">
        <color rgb="FFC0C0C0"/>
      </left>
      <right style="thin">
        <color rgb="FFC0C0C0"/>
      </right>
      <top/>
      <bottom style="thin">
        <color rgb="FFC0C0C0"/>
      </bottom>
      <diagonal/>
    </border>
    <border>
      <left style="hair">
        <color auto="1"/>
      </left>
      <right style="hair">
        <color auto="1"/>
      </right>
      <top/>
      <bottom style="hair">
        <color auto="1"/>
      </bottom>
      <diagonal/>
    </border>
    <border>
      <left/>
      <right style="hair">
        <color auto="1"/>
      </right>
      <top/>
      <bottom style="hair">
        <color auto="1"/>
      </bottom>
      <diagonal/>
    </border>
    <border>
      <left/>
      <right/>
      <top/>
      <bottom style="hair">
        <color auto="1"/>
      </bottom>
      <diagonal/>
    </border>
    <border>
      <left style="thin">
        <color rgb="FFC0C0C0"/>
      </left>
      <right style="thin">
        <color indexed="64"/>
      </right>
      <top/>
      <bottom style="thin">
        <color rgb="FFC0C0C0"/>
      </bottom>
      <diagonal/>
    </border>
    <border>
      <left style="thin">
        <color auto="1"/>
      </left>
      <right style="thin">
        <color indexed="64"/>
      </right>
      <top/>
      <bottom/>
      <diagonal/>
    </border>
    <border>
      <left style="thin">
        <color rgb="FFC0C0C0"/>
      </left>
      <right style="thin">
        <color indexed="64"/>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bottom style="thin">
        <color indexed="64"/>
      </bottom>
      <diagonal/>
    </border>
    <border>
      <left style="thin">
        <color indexed="64"/>
      </left>
      <right style="thin">
        <color auto="1"/>
      </right>
      <top style="thin">
        <color indexed="64"/>
      </top>
      <bottom/>
      <diagonal/>
    </border>
    <border>
      <left style="thin">
        <color indexed="22"/>
      </left>
      <right style="hair">
        <color auto="1"/>
      </right>
      <top/>
      <bottom style="thin">
        <color indexed="22"/>
      </bottom>
      <diagonal/>
    </border>
    <border>
      <left/>
      <right style="hair">
        <color auto="1"/>
      </right>
      <top style="thin">
        <color indexed="22"/>
      </top>
      <bottom style="thin">
        <color auto="1"/>
      </bottom>
      <diagonal/>
    </border>
    <border>
      <left style="hair">
        <color auto="1"/>
      </left>
      <right style="hair">
        <color auto="1"/>
      </right>
      <top/>
      <bottom style="thin">
        <color auto="1"/>
      </bottom>
      <diagonal/>
    </border>
    <border>
      <left/>
      <right/>
      <top style="thin">
        <color indexed="64"/>
      </top>
      <bottom/>
      <diagonal/>
    </border>
    <border>
      <left/>
      <right style="thin">
        <color indexed="64"/>
      </right>
      <top style="thin">
        <color indexed="64"/>
      </top>
      <bottom/>
      <diagonal/>
    </border>
  </borders>
  <cellStyleXfs count="10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7" fillId="15" borderId="2" applyNumberFormat="0" applyAlignment="0" applyProtection="0"/>
    <xf numFmtId="0" fontId="8" fillId="0" borderId="0" applyNumberFormat="0" applyFill="0" applyBorder="0" applyAlignment="0" applyProtection="0"/>
    <xf numFmtId="0" fontId="9" fillId="1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1" fillId="4" borderId="7" applyNumberFormat="0" applyFont="0" applyAlignment="0" applyProtection="0"/>
    <xf numFmtId="0" fontId="16" fillId="2"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37" fillId="0" borderId="0" applyFont="0" applyFill="0" applyBorder="0" applyAlignment="0" applyProtection="0"/>
  </cellStyleXfs>
  <cellXfs count="272">
    <xf numFmtId="0" fontId="0" fillId="0" borderId="0" xfId="0"/>
    <xf numFmtId="0" fontId="2" fillId="0" borderId="16" xfId="0" applyFont="1" applyBorder="1"/>
    <xf numFmtId="0" fontId="22" fillId="0" borderId="0" xfId="0" applyFont="1"/>
    <xf numFmtId="0" fontId="23" fillId="0" borderId="0" xfId="0" applyFont="1"/>
    <xf numFmtId="0" fontId="0" fillId="0" borderId="11" xfId="0" applyFont="1" applyBorder="1" applyAlignment="1">
      <alignment horizontal="left"/>
    </xf>
    <xf numFmtId="0" fontId="22" fillId="17" borderId="14" xfId="0" applyFont="1" applyFill="1" applyBorder="1"/>
    <xf numFmtId="0" fontId="24" fillId="0" borderId="0" xfId="0" applyFont="1"/>
    <xf numFmtId="0" fontId="22" fillId="0" borderId="0" xfId="0" applyFont="1" applyAlignment="1">
      <alignment wrapText="1"/>
    </xf>
    <xf numFmtId="0" fontId="25" fillId="0" borderId="0" xfId="0" applyFont="1"/>
    <xf numFmtId="3" fontId="25" fillId="0" borderId="0" xfId="0" applyNumberFormat="1" applyFont="1" applyFill="1"/>
    <xf numFmtId="3" fontId="25" fillId="0" borderId="0" xfId="0" applyNumberFormat="1" applyFont="1"/>
    <xf numFmtId="0" fontId="23" fillId="0" borderId="0" xfId="0" applyFont="1" applyBorder="1"/>
    <xf numFmtId="165" fontId="23" fillId="0" borderId="0" xfId="0" applyNumberFormat="1" applyFont="1" applyBorder="1" applyAlignment="1">
      <alignment horizontal="center"/>
    </xf>
    <xf numFmtId="3" fontId="23" fillId="0" borderId="0" xfId="0" applyNumberFormat="1" applyFont="1" applyBorder="1"/>
    <xf numFmtId="0" fontId="22" fillId="0" borderId="0" xfId="0" applyFont="1" applyBorder="1" applyAlignment="1">
      <alignment horizontal="right" wrapText="1"/>
    </xf>
    <xf numFmtId="0" fontId="23" fillId="0" borderId="0" xfId="0" applyFont="1" applyBorder="1" applyAlignment="1">
      <alignment wrapText="1"/>
    </xf>
    <xf numFmtId="0" fontId="22" fillId="0" borderId="0" xfId="0" applyFont="1" applyBorder="1" applyAlignment="1">
      <alignment wrapText="1"/>
    </xf>
    <xf numFmtId="0" fontId="22" fillId="0" borderId="0" xfId="0" applyFont="1" applyBorder="1"/>
    <xf numFmtId="165" fontId="22" fillId="0" borderId="14" xfId="0" applyNumberFormat="1" applyFont="1" applyFill="1" applyBorder="1" applyAlignment="1">
      <alignment shrinkToFit="1"/>
    </xf>
    <xf numFmtId="165" fontId="26" fillId="0" borderId="14" xfId="0" applyNumberFormat="1" applyFont="1" applyBorder="1"/>
    <xf numFmtId="165" fontId="23" fillId="0" borderId="15" xfId="0" applyNumberFormat="1" applyFont="1" applyBorder="1"/>
    <xf numFmtId="0" fontId="23" fillId="0" borderId="33" xfId="0" applyFont="1" applyBorder="1" applyAlignment="1">
      <alignment wrapText="1"/>
    </xf>
    <xf numFmtId="0" fontId="23" fillId="0" borderId="16" xfId="0" applyFont="1" applyBorder="1" applyAlignment="1">
      <alignment horizontal="right" wrapText="1"/>
    </xf>
    <xf numFmtId="0" fontId="22" fillId="0" borderId="16" xfId="0" applyFont="1" applyBorder="1"/>
    <xf numFmtId="0" fontId="23" fillId="0" borderId="31" xfId="0" applyFont="1" applyBorder="1" applyAlignment="1">
      <alignment wrapText="1"/>
    </xf>
    <xf numFmtId="0" fontId="22" fillId="0" borderId="10" xfId="0" applyFont="1" applyBorder="1"/>
    <xf numFmtId="165" fontId="26" fillId="0" borderId="28" xfId="0" applyNumberFormat="1" applyFont="1" applyBorder="1"/>
    <xf numFmtId="165" fontId="22" fillId="0" borderId="14" xfId="0" applyNumberFormat="1" applyFont="1" applyBorder="1"/>
    <xf numFmtId="165" fontId="22" fillId="0" borderId="28" xfId="0" applyNumberFormat="1" applyFont="1" applyBorder="1"/>
    <xf numFmtId="165" fontId="22" fillId="0" borderId="34" xfId="0" applyNumberFormat="1" applyFont="1" applyBorder="1"/>
    <xf numFmtId="0" fontId="22" fillId="0" borderId="17" xfId="0" applyFont="1" applyBorder="1" applyAlignment="1">
      <alignment horizontal="left" wrapText="1" indent="1"/>
    </xf>
    <xf numFmtId="0" fontId="22" fillId="0" borderId="11" xfId="0" applyFont="1" applyBorder="1" applyAlignment="1">
      <alignment horizontal="left" wrapText="1" indent="1"/>
    </xf>
    <xf numFmtId="165" fontId="23" fillId="0" borderId="17" xfId="0" applyNumberFormat="1" applyFont="1" applyBorder="1"/>
    <xf numFmtId="0" fontId="28" fillId="0" borderId="0" xfId="0" applyFont="1"/>
    <xf numFmtId="0" fontId="22" fillId="0" borderId="0" xfId="0" applyFont="1" applyAlignment="1">
      <alignment vertical="center"/>
    </xf>
    <xf numFmtId="0" fontId="28" fillId="0" borderId="32" xfId="0" applyFont="1" applyBorder="1" applyAlignment="1">
      <alignment horizontal="center" vertical="center" wrapText="1"/>
    </xf>
    <xf numFmtId="0" fontId="23" fillId="0" borderId="30" xfId="0" applyFont="1" applyBorder="1" applyAlignment="1">
      <alignment horizontal="center" vertical="center"/>
    </xf>
    <xf numFmtId="3" fontId="23" fillId="0" borderId="14" xfId="0" applyNumberFormat="1" applyFont="1" applyBorder="1" applyAlignment="1">
      <alignment horizontal="center"/>
    </xf>
    <xf numFmtId="3" fontId="23" fillId="0" borderId="0" xfId="0" applyNumberFormat="1" applyFont="1" applyBorder="1" applyAlignment="1">
      <alignment horizontal="center"/>
    </xf>
    <xf numFmtId="165" fontId="23" fillId="0" borderId="35" xfId="0" applyNumberFormat="1" applyFont="1" applyBorder="1"/>
    <xf numFmtId="0" fontId="29" fillId="0" borderId="0" xfId="0" applyFont="1"/>
    <xf numFmtId="165" fontId="22" fillId="0" borderId="0" xfId="0" applyNumberFormat="1" applyFont="1" applyBorder="1"/>
    <xf numFmtId="3" fontId="22" fillId="0" borderId="14" xfId="0" applyNumberFormat="1" applyFont="1" applyBorder="1"/>
    <xf numFmtId="3" fontId="22" fillId="0" borderId="0" xfId="0" applyNumberFormat="1" applyFont="1" applyBorder="1"/>
    <xf numFmtId="0" fontId="22" fillId="0" borderId="16" xfId="0" applyFont="1" applyFill="1" applyBorder="1" applyAlignment="1">
      <alignment wrapText="1"/>
    </xf>
    <xf numFmtId="3" fontId="22" fillId="0" borderId="0" xfId="0" applyNumberFormat="1" applyFont="1" applyFill="1" applyBorder="1" applyAlignment="1"/>
    <xf numFmtId="2" fontId="22" fillId="0" borderId="0" xfId="0" applyNumberFormat="1" applyFont="1" applyFill="1" applyBorder="1"/>
    <xf numFmtId="3" fontId="22" fillId="0" borderId="0" xfId="0" applyNumberFormat="1" applyFont="1" applyFill="1" applyBorder="1"/>
    <xf numFmtId="165" fontId="22" fillId="0" borderId="28" xfId="0" applyNumberFormat="1" applyFont="1" applyFill="1" applyBorder="1"/>
    <xf numFmtId="2" fontId="22" fillId="0" borderId="0" xfId="0" applyNumberFormat="1" applyFont="1" applyFill="1" applyBorder="1" applyAlignment="1">
      <alignment shrinkToFit="1"/>
    </xf>
    <xf numFmtId="165" fontId="22" fillId="0" borderId="28" xfId="0" applyNumberFormat="1" applyFont="1" applyBorder="1" applyAlignment="1">
      <alignment shrinkToFit="1"/>
    </xf>
    <xf numFmtId="165" fontId="29" fillId="0" borderId="28" xfId="0" applyNumberFormat="1" applyFont="1" applyBorder="1"/>
    <xf numFmtId="0" fontId="24" fillId="0" borderId="28" xfId="0" applyFont="1" applyBorder="1"/>
    <xf numFmtId="0" fontId="22" fillId="0" borderId="28" xfId="0" applyFont="1" applyBorder="1"/>
    <xf numFmtId="3" fontId="22" fillId="0" borderId="10" xfId="0" applyNumberFormat="1" applyFont="1" applyBorder="1"/>
    <xf numFmtId="165" fontId="22" fillId="0" borderId="10" xfId="0" applyNumberFormat="1" applyFont="1" applyBorder="1"/>
    <xf numFmtId="165" fontId="22" fillId="0" borderId="13" xfId="0" applyNumberFormat="1" applyFont="1" applyBorder="1"/>
    <xf numFmtId="165" fontId="23" fillId="0" borderId="10" xfId="0" applyNumberFormat="1" applyFont="1" applyBorder="1"/>
    <xf numFmtId="165" fontId="23" fillId="0" borderId="13" xfId="0" applyNumberFormat="1" applyFont="1" applyBorder="1"/>
    <xf numFmtId="165" fontId="23" fillId="0" borderId="0" xfId="0" applyNumberFormat="1" applyFont="1" applyBorder="1"/>
    <xf numFmtId="0" fontId="22" fillId="0" borderId="11" xfId="0" applyFont="1" applyBorder="1"/>
    <xf numFmtId="166" fontId="22" fillId="0" borderId="20" xfId="0" applyNumberFormat="1" applyFont="1" applyBorder="1" applyAlignment="1" applyProtection="1">
      <alignment horizontal="center"/>
      <protection locked="0"/>
    </xf>
    <xf numFmtId="167" fontId="22" fillId="0" borderId="18" xfId="0" applyNumberFormat="1" applyFont="1" applyBorder="1" applyAlignment="1" applyProtection="1">
      <alignment horizontal="center"/>
      <protection locked="0"/>
    </xf>
    <xf numFmtId="167" fontId="22" fillId="0" borderId="11" xfId="0" applyNumberFormat="1" applyFont="1" applyBorder="1" applyAlignment="1" applyProtection="1">
      <alignment horizontal="center"/>
      <protection locked="0"/>
    </xf>
    <xf numFmtId="165" fontId="22" fillId="0" borderId="15" xfId="0" applyNumberFormat="1" applyFont="1" applyBorder="1" applyAlignment="1" applyProtection="1">
      <alignment horizontal="right"/>
      <protection locked="0"/>
    </xf>
    <xf numFmtId="165" fontId="22" fillId="0" borderId="11" xfId="0" applyNumberFormat="1" applyFont="1" applyBorder="1"/>
    <xf numFmtId="165" fontId="22" fillId="0" borderId="15" xfId="0" applyNumberFormat="1" applyFont="1" applyBorder="1"/>
    <xf numFmtId="3" fontId="22" fillId="0" borderId="11" xfId="0" applyNumberFormat="1" applyFont="1" applyBorder="1" applyAlignment="1">
      <alignment horizontal="center" vertical="center"/>
    </xf>
    <xf numFmtId="166" fontId="22" fillId="0" borderId="0" xfId="0" applyNumberFormat="1" applyFont="1" applyBorder="1" applyAlignment="1" applyProtection="1">
      <alignment horizontal="center"/>
      <protection locked="0"/>
    </xf>
    <xf numFmtId="167" fontId="22" fillId="0" borderId="12" xfId="0" applyNumberFormat="1" applyFont="1" applyBorder="1" applyAlignment="1" applyProtection="1">
      <alignment horizontal="center"/>
      <protection locked="0"/>
    </xf>
    <xf numFmtId="167" fontId="22" fillId="0" borderId="0" xfId="0" applyNumberFormat="1" applyFont="1" applyBorder="1" applyAlignment="1" applyProtection="1">
      <alignment horizontal="center"/>
      <protection locked="0"/>
    </xf>
    <xf numFmtId="165" fontId="22" fillId="0" borderId="14" xfId="0" applyNumberFormat="1" applyFont="1" applyBorder="1" applyAlignment="1" applyProtection="1">
      <alignment horizontal="right"/>
      <protection locked="0"/>
    </xf>
    <xf numFmtId="3" fontId="22" fillId="0" borderId="0" xfId="0" applyNumberFormat="1" applyFont="1" applyBorder="1" applyAlignment="1">
      <alignment horizontal="center" vertical="center"/>
    </xf>
    <xf numFmtId="165" fontId="23" fillId="0" borderId="14" xfId="0" applyNumberFormat="1" applyFont="1" applyBorder="1"/>
    <xf numFmtId="164" fontId="22" fillId="0" borderId="14" xfId="0" applyNumberFormat="1" applyFont="1" applyBorder="1" applyAlignment="1">
      <alignment horizontal="right"/>
    </xf>
    <xf numFmtId="164" fontId="23" fillId="0" borderId="0" xfId="0" applyNumberFormat="1" applyFont="1" applyBorder="1" applyAlignment="1">
      <alignment horizontal="right"/>
    </xf>
    <xf numFmtId="164" fontId="22" fillId="0" borderId="0" xfId="0" applyNumberFormat="1" applyFont="1" applyBorder="1" applyAlignment="1">
      <alignment horizontal="right"/>
    </xf>
    <xf numFmtId="165" fontId="27" fillId="0" borderId="0" xfId="0" applyNumberFormat="1" applyFont="1"/>
    <xf numFmtId="0" fontId="22" fillId="0" borderId="14" xfId="0" applyFont="1" applyBorder="1"/>
    <xf numFmtId="165" fontId="22" fillId="0" borderId="0" xfId="0" applyNumberFormat="1" applyFont="1"/>
    <xf numFmtId="0" fontId="22" fillId="0" borderId="0" xfId="0" applyFont="1" applyAlignment="1">
      <alignment horizontal="left" indent="1"/>
    </xf>
    <xf numFmtId="3" fontId="22" fillId="0" borderId="0" xfId="0" applyNumberFormat="1" applyFont="1"/>
    <xf numFmtId="165" fontId="22" fillId="0" borderId="29" xfId="0" applyNumberFormat="1" applyFont="1" applyBorder="1"/>
    <xf numFmtId="165" fontId="22" fillId="0" borderId="27" xfId="0" applyNumberFormat="1" applyFont="1" applyBorder="1"/>
    <xf numFmtId="165" fontId="22" fillId="0" borderId="23" xfId="0" applyNumberFormat="1" applyFont="1" applyBorder="1"/>
    <xf numFmtId="0" fontId="22" fillId="17" borderId="11" xfId="0" applyFont="1" applyFill="1" applyBorder="1"/>
    <xf numFmtId="165" fontId="22" fillId="17" borderId="11" xfId="0" applyNumberFormat="1" applyFont="1" applyFill="1" applyBorder="1"/>
    <xf numFmtId="3" fontId="22" fillId="18" borderId="15" xfId="0" applyNumberFormat="1" applyFont="1" applyFill="1" applyBorder="1"/>
    <xf numFmtId="165" fontId="23" fillId="17" borderId="11" xfId="0" applyNumberFormat="1" applyFont="1" applyFill="1" applyBorder="1"/>
    <xf numFmtId="165" fontId="23" fillId="17" borderId="15" xfId="0" applyNumberFormat="1" applyFont="1" applyFill="1" applyBorder="1"/>
    <xf numFmtId="165" fontId="23" fillId="0" borderId="34" xfId="0" applyNumberFormat="1" applyFont="1" applyFill="1" applyBorder="1"/>
    <xf numFmtId="164" fontId="22" fillId="0" borderId="0" xfId="0" applyNumberFormat="1" applyFont="1"/>
    <xf numFmtId="164" fontId="22" fillId="0" borderId="14" xfId="0" applyNumberFormat="1" applyFont="1" applyBorder="1"/>
    <xf numFmtId="164" fontId="22" fillId="0" borderId="35" xfId="0" applyNumberFormat="1" applyFont="1" applyBorder="1"/>
    <xf numFmtId="0" fontId="23" fillId="18" borderId="11" xfId="0" applyFont="1" applyFill="1" applyBorder="1"/>
    <xf numFmtId="3" fontId="23" fillId="18" borderId="15" xfId="0" applyNumberFormat="1" applyFont="1" applyFill="1" applyBorder="1"/>
    <xf numFmtId="164" fontId="23" fillId="18" borderId="11" xfId="0" applyNumberFormat="1" applyFont="1" applyFill="1" applyBorder="1"/>
    <xf numFmtId="164" fontId="23" fillId="18" borderId="15" xfId="0" applyNumberFormat="1" applyFont="1" applyFill="1" applyBorder="1"/>
    <xf numFmtId="164" fontId="23" fillId="18" borderId="34" xfId="0" applyNumberFormat="1" applyFont="1" applyFill="1" applyBorder="1"/>
    <xf numFmtId="165" fontId="23" fillId="0" borderId="0" xfId="0" applyNumberFormat="1" applyFont="1"/>
    <xf numFmtId="3" fontId="22" fillId="0" borderId="0" xfId="0" applyNumberFormat="1" applyFont="1" applyAlignment="1"/>
    <xf numFmtId="4" fontId="22" fillId="0" borderId="0" xfId="0" applyNumberFormat="1" applyFont="1" applyAlignment="1"/>
    <xf numFmtId="165" fontId="27" fillId="0" borderId="14" xfId="0" applyNumberFormat="1" applyFont="1" applyBorder="1" applyAlignment="1">
      <alignment horizontal="left"/>
    </xf>
    <xf numFmtId="165" fontId="31" fillId="0" borderId="28" xfId="0" applyNumberFormat="1" applyFont="1" applyBorder="1" applyAlignment="1">
      <alignment horizontal="left"/>
    </xf>
    <xf numFmtId="165" fontId="22" fillId="0" borderId="0" xfId="0" applyNumberFormat="1" applyFont="1" applyBorder="1" applyAlignment="1" applyProtection="1">
      <alignment horizontal="right"/>
      <protection locked="0"/>
    </xf>
    <xf numFmtId="0" fontId="23" fillId="0" borderId="10" xfId="0" applyFont="1" applyBorder="1" applyAlignment="1">
      <alignment wrapText="1"/>
    </xf>
    <xf numFmtId="3" fontId="23" fillId="0" borderId="10" xfId="0" applyNumberFormat="1" applyFont="1" applyBorder="1"/>
    <xf numFmtId="166" fontId="22" fillId="0" borderId="24" xfId="0" applyNumberFormat="1" applyFont="1" applyBorder="1" applyAlignment="1" applyProtection="1">
      <alignment horizontal="center"/>
      <protection locked="0"/>
    </xf>
    <xf numFmtId="167" fontId="22" fillId="0" borderId="24" xfId="0" applyNumberFormat="1" applyFont="1" applyBorder="1" applyAlignment="1" applyProtection="1">
      <alignment horizontal="center"/>
      <protection locked="0"/>
    </xf>
    <xf numFmtId="165" fontId="22" fillId="0" borderId="24" xfId="0" applyNumberFormat="1" applyFont="1" applyBorder="1" applyAlignment="1" applyProtection="1">
      <alignment horizontal="center"/>
      <protection locked="0"/>
    </xf>
    <xf numFmtId="3" fontId="22" fillId="0" borderId="0" xfId="0" applyNumberFormat="1" applyFont="1" applyBorder="1" applyAlignment="1">
      <alignment horizontal="center"/>
    </xf>
    <xf numFmtId="166" fontId="22" fillId="0" borderId="12" xfId="0" applyNumberFormat="1" applyFont="1" applyBorder="1" applyAlignment="1" applyProtection="1">
      <alignment horizontal="center"/>
      <protection locked="0"/>
    </xf>
    <xf numFmtId="165" fontId="22" fillId="0" borderId="12" xfId="0" applyNumberFormat="1" applyFont="1" applyBorder="1" applyAlignment="1" applyProtection="1">
      <alignment horizontal="right"/>
      <protection locked="0"/>
    </xf>
    <xf numFmtId="166" fontId="22" fillId="0" borderId="0" xfId="0" applyNumberFormat="1" applyFont="1" applyBorder="1" applyAlignment="1" applyProtection="1">
      <alignment horizontal="right"/>
      <protection locked="0"/>
    </xf>
    <xf numFmtId="167" fontId="22" fillId="0" borderId="0" xfId="0" applyNumberFormat="1" applyFont="1" applyBorder="1" applyAlignment="1" applyProtection="1">
      <alignment horizontal="right"/>
      <protection locked="0"/>
    </xf>
    <xf numFmtId="165" fontId="32" fillId="0" borderId="12" xfId="0" applyNumberFormat="1" applyFont="1" applyBorder="1" applyAlignment="1" applyProtection="1">
      <alignment horizontal="right"/>
      <protection locked="0"/>
    </xf>
    <xf numFmtId="165" fontId="32" fillId="0" borderId="0" xfId="0" applyNumberFormat="1" applyFont="1" applyBorder="1" applyAlignment="1" applyProtection="1">
      <alignment horizontal="right"/>
      <protection locked="0"/>
    </xf>
    <xf numFmtId="167" fontId="22" fillId="0" borderId="19" xfId="0" applyNumberFormat="1" applyFont="1" applyBorder="1" applyAlignment="1" applyProtection="1">
      <alignment horizontal="right"/>
      <protection locked="0"/>
    </xf>
    <xf numFmtId="165" fontId="32" fillId="0" borderId="19" xfId="0" applyNumberFormat="1" applyFont="1" applyBorder="1" applyAlignment="1" applyProtection="1">
      <alignment horizontal="right"/>
      <protection locked="0"/>
    </xf>
    <xf numFmtId="0" fontId="22" fillId="0" borderId="0" xfId="0" applyFont="1" applyAlignment="1">
      <alignment horizontal="right" wrapText="1"/>
    </xf>
    <xf numFmtId="0" fontId="22" fillId="0" borderId="26" xfId="0" applyFont="1" applyBorder="1"/>
    <xf numFmtId="0" fontId="22" fillId="0" borderId="25" xfId="0" applyFont="1" applyBorder="1"/>
    <xf numFmtId="165" fontId="22" fillId="0" borderId="26" xfId="0" applyNumberFormat="1" applyFont="1" applyBorder="1"/>
    <xf numFmtId="3" fontId="22" fillId="0" borderId="36" xfId="0" applyNumberFormat="1" applyFont="1" applyBorder="1" applyAlignment="1">
      <alignment horizontal="center"/>
    </xf>
    <xf numFmtId="0" fontId="22" fillId="0" borderId="19" xfId="0" applyFont="1" applyBorder="1" applyAlignment="1">
      <alignment horizontal="center"/>
    </xf>
    <xf numFmtId="0" fontId="22" fillId="0" borderId="19" xfId="0" applyFont="1" applyBorder="1" applyAlignment="1">
      <alignment horizontal="center" wrapText="1"/>
    </xf>
    <xf numFmtId="166" fontId="22" fillId="0" borderId="37" xfId="0" applyNumberFormat="1" applyFont="1" applyBorder="1" applyAlignment="1" applyProtection="1">
      <alignment horizontal="left" shrinkToFit="1"/>
      <protection locked="0"/>
    </xf>
    <xf numFmtId="167" fontId="22" fillId="0" borderId="38" xfId="0" applyNumberFormat="1" applyFont="1" applyBorder="1" applyAlignment="1" applyProtection="1">
      <alignment horizontal="center"/>
      <protection locked="0"/>
    </xf>
    <xf numFmtId="165" fontId="23" fillId="17" borderId="13" xfId="0" applyNumberFormat="1" applyFont="1" applyFill="1" applyBorder="1"/>
    <xf numFmtId="165" fontId="23" fillId="0" borderId="21" xfId="0" applyNumberFormat="1" applyFont="1" applyBorder="1"/>
    <xf numFmtId="165" fontId="23" fillId="0" borderId="16" xfId="0" applyNumberFormat="1" applyFont="1" applyBorder="1"/>
    <xf numFmtId="165" fontId="23" fillId="17" borderId="14" xfId="0" applyNumberFormat="1" applyFont="1" applyFill="1" applyBorder="1"/>
    <xf numFmtId="0" fontId="22" fillId="17" borderId="0" xfId="0" applyFont="1" applyFill="1"/>
    <xf numFmtId="165" fontId="23" fillId="0" borderId="16" xfId="0" applyNumberFormat="1" applyFont="1" applyBorder="1" applyAlignment="1" applyProtection="1">
      <alignment horizontal="right"/>
      <protection locked="0"/>
    </xf>
    <xf numFmtId="165" fontId="23" fillId="0" borderId="0" xfId="0" applyNumberFormat="1" applyFont="1" applyBorder="1" applyAlignment="1" applyProtection="1">
      <alignment horizontal="right"/>
      <protection locked="0"/>
    </xf>
    <xf numFmtId="165" fontId="22" fillId="17" borderId="14" xfId="0" applyNumberFormat="1" applyFont="1" applyFill="1" applyBorder="1"/>
    <xf numFmtId="165" fontId="22" fillId="0" borderId="16" xfId="0" applyNumberFormat="1" applyFont="1" applyBorder="1"/>
    <xf numFmtId="165" fontId="22" fillId="17" borderId="14" xfId="0" applyNumberFormat="1" applyFont="1" applyFill="1" applyBorder="1" applyAlignment="1" applyProtection="1">
      <alignment horizontal="right"/>
      <protection locked="0"/>
    </xf>
    <xf numFmtId="165" fontId="22" fillId="0" borderId="16" xfId="0" applyNumberFormat="1" applyFont="1" applyBorder="1" applyAlignment="1" applyProtection="1">
      <alignment horizontal="right"/>
      <protection locked="0"/>
    </xf>
    <xf numFmtId="165" fontId="22" fillId="17" borderId="14" xfId="0" applyNumberFormat="1" applyFont="1" applyFill="1" applyBorder="1" applyAlignment="1">
      <alignment horizontal="right"/>
    </xf>
    <xf numFmtId="165" fontId="22" fillId="0" borderId="16" xfId="0" applyNumberFormat="1" applyFont="1" applyBorder="1" applyAlignment="1">
      <alignment horizontal="right"/>
    </xf>
    <xf numFmtId="165" fontId="22" fillId="0" borderId="16" xfId="0" applyNumberFormat="1" applyFont="1" applyBorder="1" applyAlignment="1">
      <alignment horizontal="center" vertical="center"/>
    </xf>
    <xf numFmtId="165" fontId="22" fillId="17" borderId="15" xfId="0" applyNumberFormat="1" applyFont="1" applyFill="1" applyBorder="1"/>
    <xf numFmtId="165" fontId="22" fillId="0" borderId="17" xfId="0" applyNumberFormat="1" applyFont="1" applyBorder="1"/>
    <xf numFmtId="3" fontId="22" fillId="0" borderId="17" xfId="0" applyNumberFormat="1" applyFont="1" applyBorder="1" applyAlignment="1">
      <alignment horizontal="center" vertical="center"/>
    </xf>
    <xf numFmtId="0" fontId="28" fillId="0" borderId="0" xfId="0" applyFont="1" applyFill="1" applyAlignment="1">
      <alignment horizontal="center" vertical="center"/>
    </xf>
    <xf numFmtId="0" fontId="28" fillId="0" borderId="0" xfId="0" applyFont="1" applyAlignment="1">
      <alignment horizontal="center" wrapText="1"/>
    </xf>
    <xf numFmtId="0" fontId="28" fillId="0" borderId="0" xfId="0" applyFont="1" applyFill="1" applyAlignment="1">
      <alignment horizontal="center" vertical="center"/>
    </xf>
    <xf numFmtId="0" fontId="28" fillId="0" borderId="0" xfId="0" applyFont="1" applyAlignment="1">
      <alignment horizontal="center" wrapText="1"/>
    </xf>
    <xf numFmtId="0" fontId="28" fillId="0" borderId="32" xfId="0" applyFont="1" applyBorder="1" applyAlignment="1">
      <alignment horizontal="center" vertical="center" wrapText="1"/>
    </xf>
    <xf numFmtId="0" fontId="23" fillId="0" borderId="10" xfId="0" applyFont="1" applyBorder="1" applyAlignment="1">
      <alignment wrapText="1"/>
    </xf>
    <xf numFmtId="0" fontId="23" fillId="0" borderId="0" xfId="0" applyFont="1" applyBorder="1" applyAlignment="1">
      <alignment wrapText="1"/>
    </xf>
    <xf numFmtId="0" fontId="2" fillId="0" borderId="0" xfId="0" applyFont="1" applyFill="1" applyBorder="1" applyAlignment="1"/>
    <xf numFmtId="0" fontId="2" fillId="0" borderId="0" xfId="0" applyFont="1" applyFill="1" applyAlignment="1"/>
    <xf numFmtId="0" fontId="2" fillId="0" borderId="0" xfId="0" applyFont="1" applyAlignment="1"/>
    <xf numFmtId="0" fontId="23" fillId="0" borderId="0" xfId="0" applyFont="1" applyBorder="1" applyAlignment="1">
      <alignment horizontal="center" vertical="center"/>
    </xf>
    <xf numFmtId="165" fontId="29" fillId="0" borderId="0" xfId="0" applyNumberFormat="1" applyFont="1" applyBorder="1"/>
    <xf numFmtId="165" fontId="27" fillId="0" borderId="0" xfId="0" applyNumberFormat="1" applyFont="1" applyBorder="1" applyAlignment="1">
      <alignment horizontal="left"/>
    </xf>
    <xf numFmtId="165" fontId="31" fillId="0" borderId="0" xfId="0" applyNumberFormat="1" applyFont="1" applyBorder="1" applyAlignment="1">
      <alignment horizontal="left"/>
    </xf>
    <xf numFmtId="165" fontId="26" fillId="0" borderId="0" xfId="0" applyNumberFormat="1" applyFont="1" applyBorder="1"/>
    <xf numFmtId="165" fontId="23" fillId="0" borderId="0" xfId="0" applyNumberFormat="1" applyFont="1" applyFill="1" applyBorder="1"/>
    <xf numFmtId="164" fontId="22" fillId="0" borderId="0" xfId="0" applyNumberFormat="1" applyFont="1" applyBorder="1"/>
    <xf numFmtId="164" fontId="23" fillId="18" borderId="0" xfId="0" applyNumberFormat="1" applyFont="1" applyFill="1" applyBorder="1"/>
    <xf numFmtId="165" fontId="23" fillId="17" borderId="0" xfId="0" applyNumberFormat="1" applyFont="1" applyFill="1" applyBorder="1"/>
    <xf numFmtId="0" fontId="22" fillId="17" borderId="0" xfId="0" applyFont="1" applyFill="1" applyBorder="1"/>
    <xf numFmtId="165" fontId="22" fillId="17" borderId="0" xfId="0" applyNumberFormat="1" applyFont="1" applyFill="1" applyBorder="1"/>
    <xf numFmtId="165" fontId="22" fillId="17" borderId="0" xfId="0" applyNumberFormat="1" applyFont="1" applyFill="1" applyBorder="1" applyAlignment="1" applyProtection="1">
      <alignment horizontal="right"/>
      <protection locked="0"/>
    </xf>
    <xf numFmtId="165" fontId="22" fillId="17" borderId="0" xfId="0" applyNumberFormat="1" applyFont="1" applyFill="1" applyBorder="1" applyAlignment="1">
      <alignment horizontal="right"/>
    </xf>
    <xf numFmtId="0" fontId="23" fillId="0" borderId="10" xfId="0" applyFont="1" applyBorder="1" applyAlignment="1">
      <alignment wrapText="1"/>
    </xf>
    <xf numFmtId="0" fontId="23" fillId="0" borderId="0" xfId="0" applyFont="1" applyBorder="1" applyAlignment="1">
      <alignment wrapText="1"/>
    </xf>
    <xf numFmtId="0" fontId="28" fillId="0" borderId="0" xfId="0" applyFont="1" applyFill="1" applyAlignment="1">
      <alignment horizontal="center" vertical="center"/>
    </xf>
    <xf numFmtId="0" fontId="28" fillId="0" borderId="0" xfId="0" applyFont="1" applyAlignment="1">
      <alignment horizontal="center" wrapText="1"/>
    </xf>
    <xf numFmtId="0" fontId="28" fillId="0" borderId="32" xfId="0" applyFont="1" applyBorder="1" applyAlignment="1">
      <alignment horizontal="center" vertical="center" wrapText="1"/>
    </xf>
    <xf numFmtId="9" fontId="34" fillId="20" borderId="0" xfId="0" applyNumberFormat="1" applyFont="1" applyFill="1" applyBorder="1"/>
    <xf numFmtId="0" fontId="22" fillId="20" borderId="0" xfId="0" applyFont="1" applyFill="1"/>
    <xf numFmtId="0" fontId="34" fillId="20" borderId="0" xfId="0" applyFont="1" applyFill="1" applyBorder="1"/>
    <xf numFmtId="0" fontId="22" fillId="20" borderId="0" xfId="0" applyFont="1" applyFill="1" applyBorder="1"/>
    <xf numFmtId="164" fontId="22" fillId="20" borderId="0" xfId="0" applyNumberFormat="1" applyFont="1" applyFill="1"/>
    <xf numFmtId="165" fontId="22" fillId="20" borderId="0" xfId="0" applyNumberFormat="1" applyFont="1" applyFill="1" applyBorder="1"/>
    <xf numFmtId="165" fontId="23" fillId="20" borderId="16" xfId="0" applyNumberFormat="1" applyFont="1" applyFill="1" applyBorder="1"/>
    <xf numFmtId="165" fontId="23" fillId="20" borderId="0" xfId="0" applyNumberFormat="1" applyFont="1" applyFill="1" applyBorder="1"/>
    <xf numFmtId="165" fontId="23" fillId="20" borderId="16" xfId="0" applyNumberFormat="1" applyFont="1" applyFill="1" applyBorder="1" applyAlignment="1" applyProtection="1">
      <alignment horizontal="right"/>
      <protection locked="0"/>
    </xf>
    <xf numFmtId="165" fontId="23" fillId="20" borderId="0" xfId="0" applyNumberFormat="1" applyFont="1" applyFill="1" applyBorder="1" applyAlignment="1" applyProtection="1">
      <alignment horizontal="right"/>
      <protection locked="0"/>
    </xf>
    <xf numFmtId="165" fontId="22" fillId="20" borderId="16" xfId="0" applyNumberFormat="1" applyFont="1" applyFill="1" applyBorder="1"/>
    <xf numFmtId="165" fontId="22" fillId="20" borderId="16" xfId="0" applyNumberFormat="1" applyFont="1" applyFill="1" applyBorder="1" applyAlignment="1" applyProtection="1">
      <alignment horizontal="right"/>
      <protection locked="0"/>
    </xf>
    <xf numFmtId="165" fontId="22" fillId="20" borderId="0" xfId="0" applyNumberFormat="1" applyFont="1" applyFill="1" applyBorder="1" applyAlignment="1" applyProtection="1">
      <alignment horizontal="right"/>
      <protection locked="0"/>
    </xf>
    <xf numFmtId="165" fontId="22" fillId="20" borderId="16" xfId="0" applyNumberFormat="1" applyFont="1" applyFill="1" applyBorder="1" applyAlignment="1">
      <alignment horizontal="right"/>
    </xf>
    <xf numFmtId="165" fontId="22" fillId="20" borderId="0" xfId="0" applyNumberFormat="1" applyFont="1" applyFill="1" applyBorder="1" applyAlignment="1">
      <alignment horizontal="right"/>
    </xf>
    <xf numFmtId="165" fontId="22" fillId="20" borderId="0" xfId="0" applyNumberFormat="1" applyFont="1" applyFill="1"/>
    <xf numFmtId="0" fontId="22" fillId="20" borderId="0" xfId="0" applyFont="1" applyFill="1" applyAlignment="1">
      <alignment horizontal="right"/>
    </xf>
    <xf numFmtId="168" fontId="22" fillId="20" borderId="0" xfId="0" applyNumberFormat="1" applyFont="1" applyFill="1"/>
    <xf numFmtId="165" fontId="22" fillId="20" borderId="11" xfId="0" applyNumberFormat="1" applyFont="1" applyFill="1" applyBorder="1"/>
    <xf numFmtId="10" fontId="22" fillId="20" borderId="0" xfId="106" applyNumberFormat="1" applyFont="1" applyFill="1"/>
    <xf numFmtId="4" fontId="34" fillId="20" borderId="16" xfId="0" applyNumberFormat="1" applyFont="1" applyFill="1" applyBorder="1"/>
    <xf numFmtId="4" fontId="34" fillId="20" borderId="0" xfId="0" applyNumberFormat="1" applyFont="1" applyFill="1" applyBorder="1"/>
    <xf numFmtId="4" fontId="22" fillId="20" borderId="0" xfId="0" applyNumberFormat="1" applyFont="1" applyFill="1" applyBorder="1"/>
    <xf numFmtId="0" fontId="33" fillId="20" borderId="33" xfId="0" applyFont="1" applyFill="1" applyBorder="1" applyAlignment="1">
      <alignment vertical="center"/>
    </xf>
    <xf numFmtId="0" fontId="33" fillId="20" borderId="39" xfId="0" applyFont="1" applyFill="1" applyBorder="1" applyAlignment="1">
      <alignment vertical="center"/>
    </xf>
    <xf numFmtId="0" fontId="28" fillId="20" borderId="40" xfId="0" applyFont="1" applyFill="1" applyBorder="1"/>
    <xf numFmtId="9" fontId="34" fillId="20" borderId="16" xfId="0" applyNumberFormat="1" applyFont="1" applyFill="1" applyBorder="1"/>
    <xf numFmtId="9" fontId="22" fillId="20" borderId="14" xfId="0" applyNumberFormat="1" applyFont="1" applyFill="1" applyBorder="1"/>
    <xf numFmtId="0" fontId="22" fillId="20" borderId="16" xfId="0" applyFont="1" applyFill="1" applyBorder="1"/>
    <xf numFmtId="0" fontId="22" fillId="20" borderId="14" xfId="0" applyFont="1" applyFill="1" applyBorder="1"/>
    <xf numFmtId="4" fontId="22" fillId="20" borderId="16" xfId="0" applyNumberFormat="1" applyFont="1" applyFill="1" applyBorder="1"/>
    <xf numFmtId="4" fontId="22" fillId="20" borderId="14" xfId="0" applyNumberFormat="1" applyFont="1" applyFill="1" applyBorder="1"/>
    <xf numFmtId="4" fontId="34" fillId="20" borderId="14" xfId="0" applyNumberFormat="1" applyFont="1" applyFill="1" applyBorder="1"/>
    <xf numFmtId="4" fontId="36" fillId="20" borderId="16" xfId="0" applyNumberFormat="1" applyFont="1" applyFill="1" applyBorder="1"/>
    <xf numFmtId="4" fontId="36" fillId="20" borderId="0" xfId="0" applyNumberFormat="1" applyFont="1" applyFill="1" applyBorder="1"/>
    <xf numFmtId="4" fontId="36" fillId="20" borderId="14" xfId="0" applyNumberFormat="1" applyFont="1" applyFill="1" applyBorder="1"/>
    <xf numFmtId="4" fontId="35" fillId="20" borderId="16" xfId="0" applyNumberFormat="1" applyFont="1" applyFill="1" applyBorder="1"/>
    <xf numFmtId="4" fontId="35" fillId="20" borderId="0" xfId="0" applyNumberFormat="1" applyFont="1" applyFill="1" applyBorder="1"/>
    <xf numFmtId="4" fontId="35" fillId="20" borderId="14" xfId="0" applyNumberFormat="1" applyFont="1" applyFill="1" applyBorder="1"/>
    <xf numFmtId="4" fontId="33" fillId="20" borderId="16" xfId="0" applyNumberFormat="1" applyFont="1" applyFill="1" applyBorder="1"/>
    <xf numFmtId="4" fontId="33" fillId="20" borderId="0" xfId="0" applyNumberFormat="1" applyFont="1" applyFill="1" applyBorder="1"/>
    <xf numFmtId="4" fontId="33" fillId="20" borderId="14" xfId="0" applyNumberFormat="1" applyFont="1" applyFill="1" applyBorder="1"/>
    <xf numFmtId="4" fontId="35" fillId="20" borderId="17" xfId="0" applyNumberFormat="1" applyFont="1" applyFill="1" applyBorder="1"/>
    <xf numFmtId="4" fontId="35" fillId="20" borderId="11" xfId="0" applyNumberFormat="1" applyFont="1" applyFill="1" applyBorder="1"/>
    <xf numFmtId="4" fontId="35" fillId="20" borderId="15" xfId="0" applyNumberFormat="1" applyFont="1" applyFill="1" applyBorder="1"/>
    <xf numFmtId="164" fontId="22" fillId="20" borderId="0" xfId="0" applyNumberFormat="1" applyFont="1" applyFill="1" applyBorder="1"/>
    <xf numFmtId="4" fontId="23" fillId="20" borderId="0" xfId="0" applyNumberFormat="1" applyFont="1" applyFill="1" applyBorder="1"/>
    <xf numFmtId="6" fontId="22" fillId="0" borderId="0" xfId="0" applyNumberFormat="1" applyFont="1"/>
    <xf numFmtId="2" fontId="2" fillId="0" borderId="0" xfId="0" applyNumberFormat="1" applyFont="1" applyFill="1" applyBorder="1"/>
    <xf numFmtId="49" fontId="34" fillId="0" borderId="0" xfId="0" applyNumberFormat="1" applyFont="1" applyBorder="1"/>
    <xf numFmtId="49" fontId="2" fillId="0" borderId="0" xfId="0" applyNumberFormat="1" applyFont="1" applyBorder="1"/>
    <xf numFmtId="49" fontId="35" fillId="0" borderId="0" xfId="0" applyNumberFormat="1" applyFont="1" applyBorder="1"/>
    <xf numFmtId="0" fontId="34" fillId="0" borderId="0" xfId="0" applyNumberFormat="1" applyFont="1" applyBorder="1"/>
    <xf numFmtId="9" fontId="28" fillId="20" borderId="40" xfId="0" applyNumberFormat="1" applyFont="1" applyFill="1" applyBorder="1"/>
    <xf numFmtId="0" fontId="27" fillId="0" borderId="0" xfId="0" applyFont="1" applyBorder="1" applyAlignment="1">
      <alignment horizontal="left" wrapText="1"/>
    </xf>
    <xf numFmtId="0" fontId="27" fillId="0" borderId="22" xfId="0" applyFont="1" applyBorder="1" applyAlignment="1">
      <alignment horizontal="left" wrapText="1"/>
    </xf>
    <xf numFmtId="0" fontId="22" fillId="0" borderId="16" xfId="0" applyFont="1" applyBorder="1" applyAlignment="1">
      <alignment horizontal="left" wrapText="1" indent="1"/>
    </xf>
    <xf numFmtId="0" fontId="22" fillId="0" borderId="0" xfId="0" applyFont="1" applyBorder="1" applyAlignment="1">
      <alignment horizontal="left" wrapText="1" indent="1"/>
    </xf>
    <xf numFmtId="0" fontId="2" fillId="0" borderId="16" xfId="0" applyFont="1" applyBorder="1" applyAlignment="1">
      <alignment horizontal="left" wrapText="1" indent="1"/>
    </xf>
    <xf numFmtId="0" fontId="2" fillId="0" borderId="0" xfId="0" applyFont="1" applyBorder="1" applyAlignment="1">
      <alignment horizontal="left" wrapText="1" indent="1"/>
    </xf>
    <xf numFmtId="0" fontId="27" fillId="0" borderId="0" xfId="0" applyFont="1" applyFill="1" applyBorder="1" applyAlignment="1">
      <alignment horizontal="left" wrapText="1"/>
    </xf>
    <xf numFmtId="0" fontId="34" fillId="20" borderId="16" xfId="0" applyFont="1" applyFill="1" applyBorder="1" applyAlignment="1">
      <alignment horizontal="center" vertical="center"/>
    </xf>
    <xf numFmtId="0" fontId="34" fillId="20" borderId="0" xfId="0" applyFont="1" applyFill="1" applyBorder="1" applyAlignment="1">
      <alignment horizontal="center" vertical="center"/>
    </xf>
    <xf numFmtId="0" fontId="34" fillId="20" borderId="14" xfId="0" applyFont="1" applyFill="1" applyBorder="1" applyAlignment="1">
      <alignment horizontal="center" vertical="center"/>
    </xf>
    <xf numFmtId="0" fontId="23" fillId="19" borderId="32" xfId="0" applyFont="1" applyFill="1" applyBorder="1" applyAlignment="1">
      <alignment horizontal="center" vertical="center" wrapText="1"/>
    </xf>
    <xf numFmtId="0" fontId="23" fillId="17" borderId="31" xfId="0" applyFont="1" applyFill="1" applyBorder="1" applyAlignment="1">
      <alignment horizontal="center" vertical="center" wrapText="1"/>
    </xf>
    <xf numFmtId="0" fontId="28" fillId="0" borderId="32" xfId="0" applyFont="1" applyBorder="1" applyAlignment="1">
      <alignment horizontal="center" vertical="center" wrapText="1"/>
    </xf>
    <xf numFmtId="0" fontId="23" fillId="17" borderId="31" xfId="0" applyFont="1" applyFill="1" applyBorder="1" applyAlignment="1">
      <alignment horizontal="center"/>
    </xf>
    <xf numFmtId="0" fontId="23" fillId="17" borderId="32" xfId="0" applyFont="1" applyFill="1" applyBorder="1" applyAlignment="1">
      <alignment horizontal="center"/>
    </xf>
    <xf numFmtId="0" fontId="2" fillId="20" borderId="0" xfId="0" applyFont="1" applyFill="1" applyAlignment="1">
      <alignment wrapText="1"/>
    </xf>
    <xf numFmtId="0" fontId="22" fillId="20" borderId="0" xfId="0" applyFont="1" applyFill="1" applyAlignment="1">
      <alignment wrapText="1"/>
    </xf>
    <xf numFmtId="0" fontId="23" fillId="0" borderId="16" xfId="0" applyFont="1" applyBorder="1" applyAlignment="1">
      <alignment wrapText="1"/>
    </xf>
    <xf numFmtId="0" fontId="23" fillId="0" borderId="0" xfId="0" applyFont="1" applyBorder="1" applyAlignment="1">
      <alignment wrapText="1"/>
    </xf>
    <xf numFmtId="0" fontId="23" fillId="0" borderId="0" xfId="0" applyFont="1" applyBorder="1" applyAlignment="1">
      <alignment horizontal="center" vertical="top" wrapText="1"/>
    </xf>
    <xf numFmtId="0" fontId="28" fillId="0" borderId="0" xfId="0" applyFont="1" applyAlignment="1">
      <alignment horizontal="center" wrapText="1"/>
    </xf>
    <xf numFmtId="0" fontId="30" fillId="0" borderId="16" xfId="0" applyFont="1" applyBorder="1" applyAlignment="1">
      <alignment wrapText="1"/>
    </xf>
    <xf numFmtId="0" fontId="30" fillId="0" borderId="0" xfId="0" applyFont="1" applyBorder="1" applyAlignment="1">
      <alignment wrapText="1"/>
    </xf>
    <xf numFmtId="0" fontId="22" fillId="0" borderId="17" xfId="0" applyFont="1" applyBorder="1" applyAlignment="1">
      <alignment horizontal="left" wrapText="1"/>
    </xf>
    <xf numFmtId="0" fontId="22" fillId="0" borderId="11" xfId="0" applyFont="1" applyBorder="1" applyAlignment="1">
      <alignment horizontal="left" wrapText="1"/>
    </xf>
    <xf numFmtId="0" fontId="22" fillId="0" borderId="20" xfId="0" applyFont="1" applyBorder="1" applyAlignment="1">
      <alignment horizontal="left" wrapText="1"/>
    </xf>
    <xf numFmtId="0" fontId="23" fillId="0" borderId="21" xfId="0" applyFont="1" applyBorder="1" applyAlignment="1">
      <alignment wrapText="1"/>
    </xf>
    <xf numFmtId="0" fontId="23" fillId="0" borderId="10" xfId="0" applyFont="1" applyBorder="1" applyAlignment="1">
      <alignment wrapText="1"/>
    </xf>
    <xf numFmtId="0" fontId="2" fillId="0" borderId="0" xfId="0" applyFont="1" applyAlignment="1">
      <alignment wrapText="1"/>
    </xf>
    <xf numFmtId="0" fontId="22" fillId="0" borderId="0" xfId="0" applyFont="1" applyAlignment="1">
      <alignment wrapText="1"/>
    </xf>
    <xf numFmtId="0" fontId="23" fillId="17" borderId="17" xfId="0" applyFont="1" applyFill="1" applyBorder="1" applyAlignment="1">
      <alignment wrapText="1"/>
    </xf>
    <xf numFmtId="0" fontId="23" fillId="17" borderId="11" xfId="0" applyFont="1" applyFill="1" applyBorder="1" applyAlignment="1">
      <alignment wrapText="1"/>
    </xf>
    <xf numFmtId="0" fontId="2" fillId="0" borderId="33" xfId="0" applyFont="1" applyBorder="1" applyAlignment="1">
      <alignment wrapText="1"/>
    </xf>
    <xf numFmtId="0" fontId="2" fillId="0" borderId="39" xfId="0" applyFont="1" applyBorder="1" applyAlignment="1">
      <alignment wrapText="1"/>
    </xf>
    <xf numFmtId="0" fontId="23" fillId="18" borderId="17" xfId="0" applyFont="1" applyFill="1" applyBorder="1" applyAlignment="1">
      <alignment wrapText="1"/>
    </xf>
    <xf numFmtId="0" fontId="23" fillId="18" borderId="11" xfId="0" applyFont="1" applyFill="1" applyBorder="1" applyAlignment="1">
      <alignment wrapText="1"/>
    </xf>
    <xf numFmtId="0" fontId="23" fillId="0" borderId="39" xfId="0" applyFont="1" applyBorder="1" applyAlignment="1">
      <alignment horizontal="right"/>
    </xf>
    <xf numFmtId="0" fontId="22" fillId="0" borderId="16" xfId="0" applyFont="1" applyBorder="1" applyAlignment="1">
      <alignment wrapText="1"/>
    </xf>
    <xf numFmtId="0" fontId="22" fillId="0" borderId="0" xfId="0" applyFont="1" applyBorder="1" applyAlignment="1">
      <alignment wrapText="1"/>
    </xf>
    <xf numFmtId="0" fontId="2" fillId="0" borderId="16" xfId="0" applyFont="1" applyBorder="1" applyAlignment="1">
      <alignment wrapText="1"/>
    </xf>
    <xf numFmtId="0" fontId="2" fillId="0" borderId="0" xfId="0" applyFont="1" applyBorder="1" applyAlignment="1">
      <alignment wrapText="1"/>
    </xf>
    <xf numFmtId="0" fontId="23" fillId="0" borderId="0" xfId="0" applyFont="1" applyFill="1" applyBorder="1" applyAlignment="1">
      <alignment horizontal="center" vertical="center" wrapText="1"/>
    </xf>
    <xf numFmtId="0" fontId="28" fillId="0" borderId="0" xfId="0" applyFont="1" applyFill="1" applyAlignment="1">
      <alignment horizontal="center" vertical="center"/>
    </xf>
    <xf numFmtId="0" fontId="23" fillId="0" borderId="31" xfId="0" applyFont="1" applyBorder="1" applyAlignment="1">
      <alignment wrapText="1"/>
    </xf>
    <xf numFmtId="0" fontId="23" fillId="0" borderId="32" xfId="0" applyFont="1" applyBorder="1" applyAlignment="1">
      <alignment wrapText="1"/>
    </xf>
  </cellXfs>
  <cellStyles count="10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Good" xfId="29"/>
    <cellStyle name="Heading 1" xfId="30"/>
    <cellStyle name="Heading 2" xfId="31"/>
    <cellStyle name="Heading 3" xfId="32"/>
    <cellStyle name="Heading 4" xfId="33"/>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Input" xfId="34"/>
    <cellStyle name="Linked Cell" xfId="35"/>
    <cellStyle name="Neutral" xfId="36"/>
    <cellStyle name="Normal" xfId="0" builtinId="0"/>
    <cellStyle name="Note" xfId="37"/>
    <cellStyle name="Output" xfId="38"/>
    <cellStyle name="Percent" xfId="106" builtinId="5"/>
    <cellStyle name="Title" xfId="39"/>
    <cellStyle name="Total" xfId="40"/>
    <cellStyle name="Warning Text" xfId="4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13</xdr:col>
      <xdr:colOff>505377</xdr:colOff>
      <xdr:row>5</xdr:row>
      <xdr:rowOff>85725</xdr:rowOff>
    </xdr:from>
    <xdr:to>
      <xdr:col>14</xdr:col>
      <xdr:colOff>866361</xdr:colOff>
      <xdr:row>5</xdr:row>
      <xdr:rowOff>140529</xdr:rowOff>
    </xdr:to>
    <xdr:sp macro="" textlink="">
      <xdr:nvSpPr>
        <xdr:cNvPr id="2" name="Text Box 10" hidden="1">
          <a:extLst>
            <a:ext uri="{FF2B5EF4-FFF2-40B4-BE49-F238E27FC236}">
              <a16:creationId xmlns:a16="http://schemas.microsoft.com/office/drawing/2014/main" id="{FE4B4FDD-17A7-42ED-AD88-9270B0FE7617}"/>
            </a:ext>
          </a:extLst>
        </xdr:cNvPr>
        <xdr:cNvSpPr txBox="1">
          <a:spLocks noChangeArrowheads="1"/>
        </xdr:cNvSpPr>
      </xdr:nvSpPr>
      <xdr:spPr bwMode="auto">
        <a:xfrm>
          <a:off x="12697377" y="2270125"/>
          <a:ext cx="1380159" cy="54804"/>
        </a:xfrm>
        <a:prstGeom prst="rect">
          <a:avLst/>
        </a:prstGeom>
        <a:solidFill>
          <a:srgbClr val="FFFFA1"/>
        </a:solidFill>
        <a:ln w="9525">
          <a:solidFill>
            <a:srgbClr val="000000"/>
          </a:solidFill>
          <a:miter lim="800000"/>
          <a:headEnd/>
          <a:tailEnd/>
        </a:ln>
        <a:effectLst>
          <a:outerShdw dist="35921" dir="2700000" algn="ctr" rotWithShape="0">
            <a:srgbClr val="808080"/>
          </a:outerShdw>
        </a:effectLst>
      </xdr:spPr>
      <xdr:txBody>
        <a:bodyP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13</xdr:col>
      <xdr:colOff>530777</xdr:colOff>
      <xdr:row>5</xdr:row>
      <xdr:rowOff>85725</xdr:rowOff>
    </xdr:from>
    <xdr:to>
      <xdr:col>14</xdr:col>
      <xdr:colOff>891761</xdr:colOff>
      <xdr:row>5</xdr:row>
      <xdr:rowOff>140529</xdr:rowOff>
    </xdr:to>
    <xdr:sp macro="" textlink="">
      <xdr:nvSpPr>
        <xdr:cNvPr id="1034" name="Text Box 10" hidden="1">
          <a:extLst>
            <a:ext uri="{FF2B5EF4-FFF2-40B4-BE49-F238E27FC236}">
              <a16:creationId xmlns:a16="http://schemas.microsoft.com/office/drawing/2014/main" id="{00000000-0008-0000-0000-00000A040000}"/>
            </a:ext>
          </a:extLst>
        </xdr:cNvPr>
        <xdr:cNvSpPr txBox="1">
          <a:spLocks noChangeArrowheads="1"/>
        </xdr:cNvSpPr>
      </xdr:nvSpPr>
      <xdr:spPr bwMode="auto">
        <a:xfrm>
          <a:off x="12753975" y="2162175"/>
          <a:ext cx="1276350" cy="361950"/>
        </a:xfrm>
        <a:prstGeom prst="rect">
          <a:avLst/>
        </a:prstGeom>
        <a:solidFill>
          <a:srgbClr val="FFFFA1"/>
        </a:solidFill>
        <a:ln w="9525">
          <a:solidFill>
            <a:srgbClr val="000000"/>
          </a:solidFill>
          <a:miter lim="800000"/>
          <a:headEnd/>
          <a:tailEnd/>
        </a:ln>
        <a:effectLst>
          <a:outerShdw dist="35921" dir="2700000" algn="ctr" rotWithShape="0">
            <a:srgbClr val="808080"/>
          </a:outerShdw>
        </a:effectLst>
      </xdr:spPr>
      <xdr:txBody>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59"/>
  <sheetViews>
    <sheetView tabSelected="1" zoomScaleNormal="100" zoomScalePageLayoutView="115" workbookViewId="0">
      <selection activeCell="A3" sqref="A3:M3"/>
    </sheetView>
  </sheetViews>
  <sheetFormatPr defaultColWidth="10.625" defaultRowHeight="15.75" x14ac:dyDescent="0.25"/>
  <cols>
    <col min="1" max="1" width="15.5" style="7" customWidth="1"/>
    <col min="2" max="2" width="28.875" style="2" customWidth="1"/>
    <col min="3" max="4" width="8" style="2" customWidth="1"/>
    <col min="5" max="5" width="9.125" style="2" customWidth="1"/>
    <col min="6" max="6" width="9" style="2" customWidth="1"/>
    <col min="7" max="7" width="12.5" style="2" customWidth="1"/>
    <col min="8" max="8" width="11.375" style="2" customWidth="1"/>
    <col min="9" max="9" width="10" style="2" customWidth="1"/>
    <col min="10" max="10" width="11.375" style="2" customWidth="1"/>
    <col min="11" max="11" width="11.5" style="2" customWidth="1"/>
    <col min="12" max="12" width="11.375" style="2" customWidth="1"/>
    <col min="13" max="14" width="13.375" style="2" customWidth="1"/>
    <col min="15" max="15" width="16" style="174" customWidth="1"/>
    <col min="16" max="17" width="12.375" style="176" customWidth="1"/>
    <col min="18" max="18" width="11.375" style="176" customWidth="1"/>
    <col min="19" max="19" width="11.375" style="176" bestFit="1" customWidth="1"/>
    <col min="20" max="20" width="16" style="174" customWidth="1"/>
    <col min="21" max="21" width="12.375" style="176" customWidth="1"/>
    <col min="22" max="22" width="10.875" style="176" customWidth="1"/>
    <col min="23" max="23" width="11.375" style="176" customWidth="1"/>
    <col min="24" max="24" width="11.375" style="176" bestFit="1" customWidth="1"/>
    <col min="25" max="25" width="16" style="174" customWidth="1"/>
    <col min="26" max="26" width="12.375" style="176" customWidth="1"/>
    <col min="27" max="27" width="10.875" style="176" customWidth="1"/>
    <col min="28" max="28" width="11.375" style="176" customWidth="1"/>
    <col min="29" max="29" width="11.375" style="176" bestFit="1" customWidth="1"/>
    <col min="30" max="16384" width="10.625" style="2"/>
  </cols>
  <sheetData>
    <row r="1" spans="1:29" ht="84" customHeight="1" x14ac:dyDescent="0.25">
      <c r="A1" s="255" t="s">
        <v>79</v>
      </c>
      <c r="B1" s="256"/>
      <c r="C1" s="256"/>
      <c r="D1" s="256"/>
      <c r="E1" s="256"/>
      <c r="F1" s="256"/>
      <c r="G1" s="256"/>
      <c r="H1" s="256"/>
      <c r="I1" s="256"/>
      <c r="J1" s="256"/>
      <c r="K1" s="256"/>
      <c r="L1" s="256"/>
      <c r="M1" s="256"/>
      <c r="N1" s="256"/>
    </row>
    <row r="2" spans="1:29" s="34" customFormat="1" ht="42" customHeight="1" x14ac:dyDescent="0.2">
      <c r="A2" s="268" t="s">
        <v>80</v>
      </c>
      <c r="B2" s="269"/>
      <c r="C2" s="269"/>
      <c r="D2" s="269"/>
      <c r="E2" s="269"/>
      <c r="F2" s="269"/>
      <c r="G2" s="269"/>
      <c r="H2" s="269"/>
      <c r="I2" s="269"/>
      <c r="J2" s="269"/>
      <c r="K2" s="269"/>
      <c r="L2" s="269"/>
      <c r="M2" s="269"/>
      <c r="N2" s="147"/>
      <c r="O2" s="196" t="s">
        <v>52</v>
      </c>
      <c r="P2" s="197" t="s">
        <v>53</v>
      </c>
      <c r="Q2" s="197" t="s">
        <v>54</v>
      </c>
      <c r="R2" s="197" t="s">
        <v>55</v>
      </c>
      <c r="S2" s="226">
        <v>0.05</v>
      </c>
      <c r="T2" s="196" t="s">
        <v>52</v>
      </c>
      <c r="U2" s="197" t="s">
        <v>53</v>
      </c>
      <c r="V2" s="197" t="s">
        <v>54</v>
      </c>
      <c r="W2" s="197" t="s">
        <v>55</v>
      </c>
      <c r="X2" s="226">
        <v>0.05</v>
      </c>
      <c r="Y2" s="196" t="s">
        <v>52</v>
      </c>
      <c r="Z2" s="197" t="s">
        <v>53</v>
      </c>
      <c r="AA2" s="197" t="s">
        <v>54</v>
      </c>
      <c r="AB2" s="197" t="s">
        <v>55</v>
      </c>
      <c r="AC2" s="226">
        <v>0.05</v>
      </c>
    </row>
    <row r="3" spans="1:29" x14ac:dyDescent="0.25">
      <c r="A3" s="246" t="s">
        <v>78</v>
      </c>
      <c r="B3" s="247"/>
      <c r="C3" s="247"/>
      <c r="D3" s="247"/>
      <c r="E3" s="247"/>
      <c r="F3" s="247"/>
      <c r="G3" s="247"/>
      <c r="H3" s="247"/>
      <c r="I3" s="247"/>
      <c r="J3" s="247"/>
      <c r="K3" s="247"/>
      <c r="L3" s="247"/>
      <c r="M3" s="247"/>
      <c r="N3" s="148"/>
      <c r="O3" s="234" t="s">
        <v>47</v>
      </c>
      <c r="P3" s="235"/>
      <c r="Q3" s="235"/>
      <c r="R3" s="235"/>
      <c r="S3" s="236"/>
      <c r="T3" s="234" t="s">
        <v>48</v>
      </c>
      <c r="U3" s="235"/>
      <c r="V3" s="235"/>
      <c r="W3" s="235"/>
      <c r="X3" s="236"/>
      <c r="Y3" s="234" t="s">
        <v>49</v>
      </c>
      <c r="Z3" s="235"/>
      <c r="AA3" s="235"/>
      <c r="AB3" s="235"/>
      <c r="AC3" s="236"/>
    </row>
    <row r="4" spans="1:29" ht="16.149999999999999" customHeight="1" x14ac:dyDescent="0.25">
      <c r="A4" s="24" t="s">
        <v>1</v>
      </c>
      <c r="B4" s="149"/>
      <c r="C4" s="237" t="s">
        <v>2</v>
      </c>
      <c r="D4" s="237"/>
      <c r="E4" s="237"/>
      <c r="F4" s="237"/>
      <c r="G4" s="237"/>
      <c r="H4" s="237"/>
      <c r="I4" s="238" t="s">
        <v>12</v>
      </c>
      <c r="J4" s="239"/>
      <c r="K4" s="240" t="s">
        <v>10</v>
      </c>
      <c r="L4" s="241"/>
      <c r="M4" s="36" t="s">
        <v>6</v>
      </c>
      <c r="N4" s="155"/>
      <c r="O4" s="199">
        <v>0.15</v>
      </c>
      <c r="P4" s="173">
        <v>0.4</v>
      </c>
      <c r="Q4" s="173">
        <v>0.2</v>
      </c>
      <c r="R4" s="173">
        <v>0.2</v>
      </c>
      <c r="S4" s="200">
        <v>0.05</v>
      </c>
      <c r="T4" s="199">
        <v>0.15</v>
      </c>
      <c r="U4" s="173">
        <v>0.4</v>
      </c>
      <c r="V4" s="173">
        <v>0.2</v>
      </c>
      <c r="W4" s="173">
        <v>0.2</v>
      </c>
      <c r="X4" s="200">
        <v>0.05</v>
      </c>
      <c r="Y4" s="199">
        <v>0.15</v>
      </c>
      <c r="Z4" s="173">
        <v>0.4</v>
      </c>
      <c r="AA4" s="173">
        <v>0.2</v>
      </c>
      <c r="AB4" s="173">
        <v>0.2</v>
      </c>
      <c r="AC4" s="200">
        <v>0.05</v>
      </c>
    </row>
    <row r="5" spans="1:29" x14ac:dyDescent="0.25">
      <c r="A5" s="21" t="s">
        <v>37</v>
      </c>
      <c r="B5" s="11" t="s">
        <v>38</v>
      </c>
      <c r="C5" s="11" t="s">
        <v>25</v>
      </c>
      <c r="D5" s="11" t="s">
        <v>26</v>
      </c>
      <c r="E5" s="12" t="s">
        <v>11</v>
      </c>
      <c r="F5" s="12" t="s">
        <v>27</v>
      </c>
      <c r="G5" s="12" t="s">
        <v>73</v>
      </c>
      <c r="H5" s="37" t="s">
        <v>4</v>
      </c>
      <c r="I5" s="12" t="s">
        <v>11</v>
      </c>
      <c r="J5" s="37" t="s">
        <v>4</v>
      </c>
      <c r="K5" s="12" t="s">
        <v>11</v>
      </c>
      <c r="L5" s="38" t="s">
        <v>4</v>
      </c>
      <c r="M5" s="39"/>
      <c r="N5" s="40" t="s">
        <v>22</v>
      </c>
      <c r="O5" s="201"/>
      <c r="P5" s="175"/>
      <c r="Q5" s="175"/>
      <c r="R5" s="175"/>
      <c r="S5" s="202"/>
      <c r="T5" s="201"/>
      <c r="U5" s="175"/>
      <c r="V5" s="175"/>
      <c r="W5" s="175"/>
      <c r="X5" s="202"/>
      <c r="Y5" s="201"/>
      <c r="Z5" s="175"/>
      <c r="AA5" s="175"/>
      <c r="AB5" s="175"/>
      <c r="AC5" s="202"/>
    </row>
    <row r="6" spans="1:29" ht="31.9" customHeight="1" x14ac:dyDescent="0.25">
      <c r="A6" s="248" t="s">
        <v>7</v>
      </c>
      <c r="B6" s="249"/>
      <c r="C6" s="17"/>
      <c r="D6" s="17"/>
      <c r="E6" s="41"/>
      <c r="F6" s="41"/>
      <c r="G6" s="41"/>
      <c r="H6" s="42"/>
      <c r="I6" s="41"/>
      <c r="J6" s="42"/>
      <c r="K6" s="41"/>
      <c r="L6" s="43"/>
      <c r="M6" s="28"/>
      <c r="N6" s="8" t="s">
        <v>8</v>
      </c>
      <c r="O6" s="201"/>
      <c r="P6" s="175"/>
      <c r="Q6" s="175"/>
      <c r="R6" s="175"/>
      <c r="S6" s="202"/>
      <c r="T6" s="201"/>
      <c r="U6" s="175"/>
      <c r="V6" s="175"/>
      <c r="W6" s="175"/>
      <c r="X6" s="202"/>
      <c r="Y6" s="201"/>
      <c r="Z6" s="175"/>
      <c r="AA6" s="175"/>
      <c r="AB6" s="175"/>
      <c r="AC6" s="202"/>
    </row>
    <row r="7" spans="1:29" ht="16.149999999999999" customHeight="1" x14ac:dyDescent="0.25">
      <c r="A7" s="44" t="s">
        <v>24</v>
      </c>
      <c r="B7" s="153" t="s">
        <v>60</v>
      </c>
      <c r="C7" s="45">
        <v>75000</v>
      </c>
      <c r="D7" s="45">
        <v>6</v>
      </c>
      <c r="E7" s="46">
        <v>0.5</v>
      </c>
      <c r="F7" s="47">
        <f t="shared" ref="F7:F12" si="0">E7*C7</f>
        <v>37500</v>
      </c>
      <c r="G7" s="47">
        <f t="shared" ref="G7:G12" si="1">F7*0.25</f>
        <v>9375</v>
      </c>
      <c r="H7" s="18">
        <f t="shared" ref="H7:H12" si="2">C7*E7+G7</f>
        <v>46875</v>
      </c>
      <c r="I7" s="46">
        <v>0.25</v>
      </c>
      <c r="J7" s="18">
        <f t="shared" ref="J7:J12" si="3">(I7*C7)*0.25+(I7*C7)</f>
        <v>23438</v>
      </c>
      <c r="K7" s="46">
        <v>0.15</v>
      </c>
      <c r="L7" s="18">
        <f>(K7*C7)*0.25+(K7*C7)</f>
        <v>14063</v>
      </c>
      <c r="M7" s="48"/>
      <c r="N7" s="9">
        <v>113169</v>
      </c>
      <c r="O7" s="203">
        <f>H7*$O$4</f>
        <v>7031.25</v>
      </c>
      <c r="P7" s="194">
        <f>H7*$P$4</f>
        <v>18750</v>
      </c>
      <c r="Q7" s="194">
        <f>H7*$Q$4</f>
        <v>9375</v>
      </c>
      <c r="R7" s="194">
        <f>H7*$R$4</f>
        <v>9375</v>
      </c>
      <c r="S7" s="204">
        <f>H7*$S$4</f>
        <v>2343.75</v>
      </c>
      <c r="T7" s="203">
        <f>J7*$T$4</f>
        <v>3515.7</v>
      </c>
      <c r="U7" s="194">
        <f>J7*$U$4</f>
        <v>9375.2000000000007</v>
      </c>
      <c r="V7" s="194">
        <f>J7*$V$4</f>
        <v>4687.6000000000004</v>
      </c>
      <c r="W7" s="194">
        <f>J7*$W$4</f>
        <v>4687.6000000000004</v>
      </c>
      <c r="X7" s="204">
        <f>J7*$X$4</f>
        <v>1171.9000000000001</v>
      </c>
      <c r="Y7" s="203">
        <f>L7*$Y$4</f>
        <v>2109.4499999999998</v>
      </c>
      <c r="Z7" s="194">
        <f>L7*$Z$4</f>
        <v>5625.2</v>
      </c>
      <c r="AA7" s="194">
        <f>L7*$AA$4</f>
        <v>2812.6</v>
      </c>
      <c r="AB7" s="194">
        <f>L7*$AB$4</f>
        <v>2812.6</v>
      </c>
      <c r="AC7" s="204">
        <f>L7*$AC$4</f>
        <v>703.15</v>
      </c>
    </row>
    <row r="8" spans="1:29" ht="16.149999999999999" customHeight="1" x14ac:dyDescent="0.25">
      <c r="A8" s="44" t="s">
        <v>24</v>
      </c>
      <c r="B8" s="154" t="s">
        <v>46</v>
      </c>
      <c r="C8" s="100">
        <v>60000</v>
      </c>
      <c r="D8" s="45">
        <v>9</v>
      </c>
      <c r="E8" s="49">
        <v>0.75</v>
      </c>
      <c r="F8" s="47">
        <f t="shared" si="0"/>
        <v>45000</v>
      </c>
      <c r="G8" s="47">
        <f t="shared" si="1"/>
        <v>11250</v>
      </c>
      <c r="H8" s="18">
        <f t="shared" si="2"/>
        <v>56250</v>
      </c>
      <c r="I8" s="49">
        <v>0.5</v>
      </c>
      <c r="J8" s="18">
        <f t="shared" si="3"/>
        <v>37500</v>
      </c>
      <c r="K8" s="49">
        <v>0.25</v>
      </c>
      <c r="L8" s="18">
        <f>(K8*C8)*0.25+K8*C8</f>
        <v>18750</v>
      </c>
      <c r="M8" s="50"/>
      <c r="N8" s="10">
        <v>96443</v>
      </c>
      <c r="O8" s="203">
        <f t="shared" ref="O8:O12" si="4">H8*$O$4</f>
        <v>8437.5</v>
      </c>
      <c r="P8" s="194">
        <f t="shared" ref="P8:P12" si="5">H8*$P$4</f>
        <v>22500</v>
      </c>
      <c r="Q8" s="194">
        <f t="shared" ref="Q8:Q12" si="6">H8*$Q$4</f>
        <v>11250</v>
      </c>
      <c r="R8" s="194">
        <f t="shared" ref="R8" si="7">H8*$R$4</f>
        <v>11250</v>
      </c>
      <c r="S8" s="204">
        <f t="shared" ref="S8" si="8">H8*$S$4</f>
        <v>2812.5</v>
      </c>
      <c r="T8" s="203">
        <f t="shared" ref="T8" si="9">J8*$T$4</f>
        <v>5625</v>
      </c>
      <c r="U8" s="194">
        <f t="shared" ref="U8" si="10">J8*$U$4</f>
        <v>15000</v>
      </c>
      <c r="V8" s="194">
        <f t="shared" ref="V8" si="11">J8*$V$4</f>
        <v>7500</v>
      </c>
      <c r="W8" s="194">
        <f t="shared" ref="W8" si="12">J8*$W$4</f>
        <v>7500</v>
      </c>
      <c r="X8" s="204">
        <f t="shared" ref="X8" si="13">J8*$X$4</f>
        <v>1875</v>
      </c>
      <c r="Y8" s="203">
        <f>L8*$Y$4</f>
        <v>2812.5</v>
      </c>
      <c r="Z8" s="194">
        <f>L8*$Z$4</f>
        <v>7500</v>
      </c>
      <c r="AA8" s="194">
        <f>L8*$AA$4</f>
        <v>3750</v>
      </c>
      <c r="AB8" s="194">
        <f>L8*$AB$4</f>
        <v>3750</v>
      </c>
      <c r="AC8" s="204">
        <f>L8*$AC$4</f>
        <v>937.5</v>
      </c>
    </row>
    <row r="9" spans="1:29" ht="16.149999999999999" customHeight="1" x14ac:dyDescent="0.25">
      <c r="A9" s="44" t="s">
        <v>24</v>
      </c>
      <c r="B9" s="152" t="s">
        <v>65</v>
      </c>
      <c r="C9" s="45">
        <v>50000</v>
      </c>
      <c r="D9" s="101">
        <v>1.8</v>
      </c>
      <c r="E9" s="46">
        <v>0.15</v>
      </c>
      <c r="F9" s="47">
        <f t="shared" si="0"/>
        <v>7500</v>
      </c>
      <c r="G9" s="47">
        <f t="shared" si="1"/>
        <v>1875</v>
      </c>
      <c r="H9" s="18">
        <f t="shared" si="2"/>
        <v>9375</v>
      </c>
      <c r="I9" s="46">
        <v>0.15</v>
      </c>
      <c r="J9" s="18">
        <f t="shared" si="3"/>
        <v>9375</v>
      </c>
      <c r="K9" s="46">
        <v>0.15</v>
      </c>
      <c r="L9" s="18">
        <f>(K9*C9)*0.25+K9*C9</f>
        <v>9375</v>
      </c>
      <c r="M9" s="28"/>
      <c r="N9" s="10">
        <v>86691</v>
      </c>
      <c r="O9" s="203">
        <f t="shared" si="4"/>
        <v>1406.25</v>
      </c>
      <c r="P9" s="194">
        <f t="shared" si="5"/>
        <v>3750</v>
      </c>
      <c r="Q9" s="194">
        <f t="shared" si="6"/>
        <v>1875</v>
      </c>
      <c r="R9" s="194">
        <f t="shared" ref="R9:R12" si="14">H9*$R$4</f>
        <v>1875</v>
      </c>
      <c r="S9" s="204">
        <f t="shared" ref="S9:S12" si="15">H9*$S$4</f>
        <v>468.75</v>
      </c>
      <c r="T9" s="203">
        <f t="shared" ref="T9:T12" si="16">J9*$T$4</f>
        <v>1406.25</v>
      </c>
      <c r="U9" s="194">
        <f t="shared" ref="U9:U12" si="17">J9*$U$4</f>
        <v>3750</v>
      </c>
      <c r="V9" s="194">
        <f t="shared" ref="V9:V12" si="18">J9*$V$4</f>
        <v>1875</v>
      </c>
      <c r="W9" s="194">
        <f t="shared" ref="W9:W12" si="19">J9*$W$4</f>
        <v>1875</v>
      </c>
      <c r="X9" s="204">
        <f t="shared" ref="X9:X12" si="20">J9*$X$4</f>
        <v>468.75</v>
      </c>
      <c r="Y9" s="203">
        <f t="shared" ref="Y9:Y12" si="21">L9*$Y$4</f>
        <v>1406.25</v>
      </c>
      <c r="Z9" s="194">
        <f t="shared" ref="Z9:Z12" si="22">L9*$Z$4</f>
        <v>3750</v>
      </c>
      <c r="AA9" s="194">
        <f t="shared" ref="AA9:AA12" si="23">L9*$AA$4</f>
        <v>1875</v>
      </c>
      <c r="AB9" s="194">
        <f t="shared" ref="AB9:AB12" si="24">L9*$AB$4</f>
        <v>1875</v>
      </c>
      <c r="AC9" s="204">
        <f t="shared" ref="AC9:AC12" si="25">L9*$AC$4</f>
        <v>468.75</v>
      </c>
    </row>
    <row r="10" spans="1:29" x14ac:dyDescent="0.25">
      <c r="A10" s="44" t="s">
        <v>24</v>
      </c>
      <c r="B10" s="152" t="s">
        <v>66</v>
      </c>
      <c r="C10" s="45">
        <v>50000</v>
      </c>
      <c r="D10" s="101">
        <v>1.8</v>
      </c>
      <c r="E10" s="46">
        <v>0.15</v>
      </c>
      <c r="F10" s="47">
        <f t="shared" si="0"/>
        <v>7500</v>
      </c>
      <c r="G10" s="47">
        <f t="shared" si="1"/>
        <v>1875</v>
      </c>
      <c r="H10" s="18">
        <f t="shared" si="2"/>
        <v>9375</v>
      </c>
      <c r="I10" s="46">
        <v>0.15</v>
      </c>
      <c r="J10" s="18">
        <f t="shared" si="3"/>
        <v>9375</v>
      </c>
      <c r="K10" s="46">
        <v>0.15</v>
      </c>
      <c r="L10" s="18">
        <f>(K10*C10)*0.25+K10*C10</f>
        <v>9375</v>
      </c>
      <c r="M10" s="51"/>
      <c r="N10" s="10">
        <v>50219</v>
      </c>
      <c r="O10" s="203">
        <f t="shared" si="4"/>
        <v>1406.25</v>
      </c>
      <c r="P10" s="194">
        <f t="shared" si="5"/>
        <v>3750</v>
      </c>
      <c r="Q10" s="194">
        <f t="shared" si="6"/>
        <v>1875</v>
      </c>
      <c r="R10" s="194">
        <f t="shared" si="14"/>
        <v>1875</v>
      </c>
      <c r="S10" s="204">
        <f t="shared" si="15"/>
        <v>468.75</v>
      </c>
      <c r="T10" s="203">
        <f t="shared" si="16"/>
        <v>1406.25</v>
      </c>
      <c r="U10" s="194">
        <f t="shared" si="17"/>
        <v>3750</v>
      </c>
      <c r="V10" s="194">
        <f t="shared" si="18"/>
        <v>1875</v>
      </c>
      <c r="W10" s="194">
        <f t="shared" si="19"/>
        <v>1875</v>
      </c>
      <c r="X10" s="204">
        <f t="shared" si="20"/>
        <v>468.75</v>
      </c>
      <c r="Y10" s="203">
        <f t="shared" si="21"/>
        <v>1406.25</v>
      </c>
      <c r="Z10" s="194">
        <f t="shared" si="22"/>
        <v>3750</v>
      </c>
      <c r="AA10" s="194">
        <f t="shared" si="23"/>
        <v>1875</v>
      </c>
      <c r="AB10" s="194">
        <f t="shared" si="24"/>
        <v>1875</v>
      </c>
      <c r="AC10" s="204">
        <f t="shared" si="25"/>
        <v>468.75</v>
      </c>
    </row>
    <row r="11" spans="1:29" ht="16.149999999999999" customHeight="1" x14ac:dyDescent="0.25">
      <c r="A11" s="44" t="s">
        <v>24</v>
      </c>
      <c r="B11" s="152" t="s">
        <v>67</v>
      </c>
      <c r="C11" s="45">
        <v>50000</v>
      </c>
      <c r="D11" s="101">
        <v>1.8</v>
      </c>
      <c r="E11" s="46">
        <v>0.15</v>
      </c>
      <c r="F11" s="47">
        <f t="shared" si="0"/>
        <v>7500</v>
      </c>
      <c r="G11" s="47">
        <f t="shared" si="1"/>
        <v>1875</v>
      </c>
      <c r="H11" s="18">
        <f t="shared" si="2"/>
        <v>9375</v>
      </c>
      <c r="I11" s="46">
        <v>0.15</v>
      </c>
      <c r="J11" s="18">
        <f t="shared" si="3"/>
        <v>9375</v>
      </c>
      <c r="K11" s="46">
        <v>0.15</v>
      </c>
      <c r="L11" s="18">
        <f>(K11*C11)*0.25+K11*C11</f>
        <v>9375</v>
      </c>
      <c r="M11" s="50"/>
      <c r="N11" s="10">
        <v>60643</v>
      </c>
      <c r="O11" s="203">
        <f t="shared" si="4"/>
        <v>1406.25</v>
      </c>
      <c r="P11" s="194">
        <f t="shared" si="5"/>
        <v>3750</v>
      </c>
      <c r="Q11" s="194">
        <f t="shared" si="6"/>
        <v>1875</v>
      </c>
      <c r="R11" s="194">
        <f t="shared" si="14"/>
        <v>1875</v>
      </c>
      <c r="S11" s="204">
        <f t="shared" si="15"/>
        <v>468.75</v>
      </c>
      <c r="T11" s="203">
        <f t="shared" si="16"/>
        <v>1406.25</v>
      </c>
      <c r="U11" s="194">
        <f t="shared" si="17"/>
        <v>3750</v>
      </c>
      <c r="V11" s="194">
        <f t="shared" si="18"/>
        <v>1875</v>
      </c>
      <c r="W11" s="194">
        <f t="shared" si="19"/>
        <v>1875</v>
      </c>
      <c r="X11" s="204">
        <f t="shared" si="20"/>
        <v>468.75</v>
      </c>
      <c r="Y11" s="203">
        <f t="shared" si="21"/>
        <v>1406.25</v>
      </c>
      <c r="Z11" s="194">
        <f t="shared" si="22"/>
        <v>3750</v>
      </c>
      <c r="AA11" s="194">
        <f t="shared" si="23"/>
        <v>1875</v>
      </c>
      <c r="AB11" s="194">
        <f t="shared" si="24"/>
        <v>1875</v>
      </c>
      <c r="AC11" s="204">
        <f t="shared" si="25"/>
        <v>468.75</v>
      </c>
    </row>
    <row r="12" spans="1:29" s="6" customFormat="1" x14ac:dyDescent="0.25">
      <c r="A12" s="44" t="s">
        <v>24</v>
      </c>
      <c r="B12" s="152" t="s">
        <v>68</v>
      </c>
      <c r="C12" s="45">
        <v>50000</v>
      </c>
      <c r="D12" s="101">
        <v>1.8</v>
      </c>
      <c r="E12" s="46">
        <v>0.15</v>
      </c>
      <c r="F12" s="47">
        <f t="shared" si="0"/>
        <v>7500</v>
      </c>
      <c r="G12" s="47">
        <f t="shared" si="1"/>
        <v>1875</v>
      </c>
      <c r="H12" s="18">
        <f t="shared" si="2"/>
        <v>9375</v>
      </c>
      <c r="I12" s="46">
        <v>0.15</v>
      </c>
      <c r="J12" s="18">
        <f t="shared" si="3"/>
        <v>9375</v>
      </c>
      <c r="K12" s="46">
        <v>0.15</v>
      </c>
      <c r="L12" s="18">
        <f>(K12*C12)*0.25+K12*C12</f>
        <v>9375</v>
      </c>
      <c r="M12" s="52"/>
      <c r="N12" s="9">
        <v>89853</v>
      </c>
      <c r="O12" s="203">
        <f t="shared" si="4"/>
        <v>1406.25</v>
      </c>
      <c r="P12" s="194">
        <f t="shared" si="5"/>
        <v>3750</v>
      </c>
      <c r="Q12" s="194">
        <f t="shared" si="6"/>
        <v>1875</v>
      </c>
      <c r="R12" s="194">
        <f t="shared" si="14"/>
        <v>1875</v>
      </c>
      <c r="S12" s="204">
        <f t="shared" si="15"/>
        <v>468.75</v>
      </c>
      <c r="T12" s="203">
        <f t="shared" si="16"/>
        <v>1406.25</v>
      </c>
      <c r="U12" s="194">
        <f t="shared" si="17"/>
        <v>3750</v>
      </c>
      <c r="V12" s="194">
        <f t="shared" si="18"/>
        <v>1875</v>
      </c>
      <c r="W12" s="194">
        <f t="shared" si="19"/>
        <v>1875</v>
      </c>
      <c r="X12" s="204">
        <f t="shared" si="20"/>
        <v>468.75</v>
      </c>
      <c r="Y12" s="203">
        <f t="shared" si="21"/>
        <v>1406.25</v>
      </c>
      <c r="Z12" s="194">
        <f t="shared" si="22"/>
        <v>3750</v>
      </c>
      <c r="AA12" s="194">
        <f t="shared" si="23"/>
        <v>1875</v>
      </c>
      <c r="AB12" s="194">
        <f t="shared" si="24"/>
        <v>1875</v>
      </c>
      <c r="AC12" s="204">
        <f t="shared" si="25"/>
        <v>468.75</v>
      </c>
    </row>
    <row r="13" spans="1:29" x14ac:dyDescent="0.25">
      <c r="A13" s="22" t="s">
        <v>36</v>
      </c>
      <c r="B13" s="17"/>
      <c r="C13" s="17"/>
      <c r="D13" s="17"/>
      <c r="E13" s="17"/>
      <c r="F13" s="13">
        <f>SUM(F7:F12)</f>
        <v>112500</v>
      </c>
      <c r="G13" s="13">
        <f>SUM(G7:G12)</f>
        <v>28125</v>
      </c>
      <c r="H13" s="20">
        <f>SUM(H7:H12)</f>
        <v>140625</v>
      </c>
      <c r="I13" s="17"/>
      <c r="J13" s="20">
        <f>SUM(J7:J12)</f>
        <v>98438</v>
      </c>
      <c r="K13" s="17"/>
      <c r="L13" s="20">
        <f>SUM(L7:L12)</f>
        <v>70313</v>
      </c>
      <c r="M13" s="28">
        <f>SUM(H13,J13,L13)</f>
        <v>309376</v>
      </c>
      <c r="N13" s="224"/>
      <c r="O13" s="193"/>
      <c r="P13" s="194"/>
      <c r="Q13" s="194"/>
      <c r="R13" s="194"/>
      <c r="S13" s="204"/>
      <c r="T13" s="193"/>
      <c r="U13" s="194"/>
      <c r="V13" s="194"/>
      <c r="W13" s="194"/>
      <c r="X13" s="204"/>
      <c r="Y13" s="193"/>
      <c r="Z13" s="194"/>
      <c r="AA13" s="194"/>
      <c r="AB13" s="194"/>
      <c r="AC13" s="204"/>
    </row>
    <row r="14" spans="1:29" x14ac:dyDescent="0.25">
      <c r="A14" s="21" t="s">
        <v>9</v>
      </c>
      <c r="B14" s="54"/>
      <c r="C14" s="25"/>
      <c r="D14" s="25"/>
      <c r="E14" s="55"/>
      <c r="F14" s="55"/>
      <c r="G14" s="55"/>
      <c r="H14" s="56"/>
      <c r="I14" s="57"/>
      <c r="J14" s="58"/>
      <c r="K14" s="57"/>
      <c r="L14" s="57"/>
      <c r="M14" s="28"/>
      <c r="N14" s="223"/>
      <c r="O14" s="193"/>
      <c r="P14" s="194"/>
      <c r="Q14" s="194"/>
      <c r="R14" s="194"/>
      <c r="S14" s="204"/>
      <c r="T14" s="193"/>
      <c r="U14" s="194"/>
      <c r="V14" s="194"/>
      <c r="W14" s="194"/>
      <c r="X14" s="204"/>
      <c r="Y14" s="193"/>
      <c r="Z14" s="194"/>
      <c r="AA14" s="194"/>
      <c r="AB14" s="194"/>
      <c r="AC14" s="204"/>
    </row>
    <row r="15" spans="1:29" ht="16.149999999999999" customHeight="1" x14ac:dyDescent="0.25">
      <c r="A15" s="250" t="s">
        <v>43</v>
      </c>
      <c r="B15" s="251"/>
      <c r="C15" s="252"/>
      <c r="D15" s="61"/>
      <c r="E15" s="62"/>
      <c r="F15" s="63"/>
      <c r="G15" s="63"/>
      <c r="H15" s="64">
        <f>G41</f>
        <v>136845</v>
      </c>
      <c r="I15" s="65"/>
      <c r="J15" s="66">
        <f>H15</f>
        <v>136845</v>
      </c>
      <c r="K15" s="67"/>
      <c r="L15" s="65">
        <f>J15</f>
        <v>136845</v>
      </c>
      <c r="M15" s="29">
        <f>N41</f>
        <v>410535</v>
      </c>
      <c r="N15" s="41"/>
      <c r="O15" s="193">
        <f>H15*$O$4</f>
        <v>20526.75</v>
      </c>
      <c r="P15" s="194">
        <f>H15*$P$4</f>
        <v>54738</v>
      </c>
      <c r="Q15" s="194">
        <f>H15*$Q$4</f>
        <v>27369</v>
      </c>
      <c r="R15" s="194">
        <f>H15*$R$4</f>
        <v>27369</v>
      </c>
      <c r="S15" s="205">
        <f>H15*$S$4</f>
        <v>6842.25</v>
      </c>
      <c r="T15" s="203">
        <f>J15*$T$4</f>
        <v>20526.75</v>
      </c>
      <c r="U15" s="194">
        <f t="shared" ref="U15:U21" si="26">J15*$U$4</f>
        <v>54738</v>
      </c>
      <c r="V15" s="194">
        <f>J15*$V$4</f>
        <v>27369</v>
      </c>
      <c r="W15" s="194">
        <f t="shared" ref="W15:W21" si="27">J15*$W$4</f>
        <v>27369</v>
      </c>
      <c r="X15" s="204">
        <f t="shared" ref="X15:X31" si="28">J15*$X$4</f>
        <v>6842.25</v>
      </c>
      <c r="Y15" s="193">
        <f>L15*$Y$4</f>
        <v>20526.75</v>
      </c>
      <c r="Z15" s="194">
        <f>L15*$Z$4</f>
        <v>54738</v>
      </c>
      <c r="AA15" s="194">
        <f>L15*$AA$4</f>
        <v>27369</v>
      </c>
      <c r="AB15" s="194">
        <f>L15*$AB$4</f>
        <v>27369</v>
      </c>
      <c r="AC15" s="205">
        <f>L15*$AC$4</f>
        <v>6842.25</v>
      </c>
    </row>
    <row r="16" spans="1:29" ht="16.149999999999999" customHeight="1" x14ac:dyDescent="0.25">
      <c r="A16" s="253" t="s">
        <v>28</v>
      </c>
      <c r="B16" s="254"/>
      <c r="C16" s="68"/>
      <c r="D16" s="68"/>
      <c r="E16" s="69"/>
      <c r="F16" s="70"/>
      <c r="G16" s="70"/>
      <c r="H16" s="71"/>
      <c r="I16" s="41"/>
      <c r="J16" s="27"/>
      <c r="K16" s="72"/>
      <c r="L16" s="41"/>
      <c r="M16" s="28"/>
      <c r="N16" s="41"/>
      <c r="O16" s="193"/>
      <c r="P16" s="194">
        <f t="shared" ref="P16:P29" si="29">H16*$P$4</f>
        <v>0</v>
      </c>
      <c r="Q16" s="194">
        <f t="shared" ref="Q16:Q31" si="30">H16*$Q$4</f>
        <v>0</v>
      </c>
      <c r="R16" s="194">
        <f t="shared" ref="R16:R31" si="31">H16*$R$4</f>
        <v>0</v>
      </c>
      <c r="S16" s="205">
        <f t="shared" ref="S16:S31" si="32">H16*$S$4</f>
        <v>0</v>
      </c>
      <c r="T16" s="203">
        <f t="shared" ref="T16:T30" si="33">J16*$T$4</f>
        <v>0</v>
      </c>
      <c r="U16" s="194">
        <f t="shared" si="26"/>
        <v>0</v>
      </c>
      <c r="V16" s="194">
        <f t="shared" ref="V16:V20" si="34">J16*$V$4</f>
        <v>0</v>
      </c>
      <c r="W16" s="194">
        <f t="shared" si="27"/>
        <v>0</v>
      </c>
      <c r="X16" s="204">
        <f t="shared" si="28"/>
        <v>0</v>
      </c>
      <c r="Y16" s="193">
        <f t="shared" ref="Y16:Y31" si="35">L16*$Y$4</f>
        <v>0</v>
      </c>
      <c r="Z16" s="194">
        <f t="shared" ref="Z16:Z31" si="36">L16*$Z$4</f>
        <v>0</v>
      </c>
      <c r="AA16" s="194">
        <f t="shared" ref="AA16:AA31" si="37">L16*$AA$4</f>
        <v>0</v>
      </c>
      <c r="AB16" s="194">
        <f t="shared" ref="AB16:AB31" si="38">L16*$AB$4</f>
        <v>0</v>
      </c>
      <c r="AC16" s="205">
        <f t="shared" ref="AC16:AC31" si="39">L16*$AC$4</f>
        <v>0</v>
      </c>
    </row>
    <row r="17" spans="1:80" s="17" customFormat="1" ht="16.149999999999999" customHeight="1" x14ac:dyDescent="0.25">
      <c r="A17" s="231" t="s">
        <v>75</v>
      </c>
      <c r="B17" s="230"/>
      <c r="C17" s="230"/>
      <c r="D17" s="230"/>
      <c r="E17" s="230"/>
      <c r="F17" s="230"/>
      <c r="G17" s="230"/>
      <c r="H17" s="27">
        <f>7*150*25+2*35*5*25</f>
        <v>35000</v>
      </c>
      <c r="I17" s="41"/>
      <c r="J17" s="27">
        <f>7*150*25+2*35*5*25</f>
        <v>35000</v>
      </c>
      <c r="K17" s="41"/>
      <c r="L17" s="27">
        <f>7*150*25+2*35*5*25</f>
        <v>35000</v>
      </c>
      <c r="M17" s="102">
        <f>SUM(H17,J17,L17)</f>
        <v>105000</v>
      </c>
      <c r="N17" s="157"/>
      <c r="O17" s="193">
        <f>H17*$O$4</f>
        <v>5250</v>
      </c>
      <c r="P17" s="194">
        <f t="shared" si="29"/>
        <v>14000</v>
      </c>
      <c r="Q17" s="194">
        <f t="shared" si="30"/>
        <v>7000</v>
      </c>
      <c r="R17" s="194">
        <f t="shared" si="31"/>
        <v>7000</v>
      </c>
      <c r="S17" s="205">
        <f t="shared" si="32"/>
        <v>1750</v>
      </c>
      <c r="T17" s="203">
        <f t="shared" si="33"/>
        <v>5250</v>
      </c>
      <c r="U17" s="194">
        <f t="shared" si="26"/>
        <v>14000</v>
      </c>
      <c r="V17" s="194">
        <f t="shared" si="34"/>
        <v>7000</v>
      </c>
      <c r="W17" s="194">
        <f t="shared" si="27"/>
        <v>7000</v>
      </c>
      <c r="X17" s="204">
        <f t="shared" si="28"/>
        <v>1750</v>
      </c>
      <c r="Y17" s="193">
        <f t="shared" si="35"/>
        <v>5250</v>
      </c>
      <c r="Z17" s="194">
        <f t="shared" si="36"/>
        <v>14000</v>
      </c>
      <c r="AA17" s="194">
        <f t="shared" si="37"/>
        <v>7000</v>
      </c>
      <c r="AB17" s="194">
        <f t="shared" si="38"/>
        <v>7000</v>
      </c>
      <c r="AC17" s="205">
        <f t="shared" si="39"/>
        <v>1750</v>
      </c>
    </row>
    <row r="18" spans="1:80" ht="16.149999999999999" customHeight="1" x14ac:dyDescent="0.25">
      <c r="A18" s="231" t="s">
        <v>77</v>
      </c>
      <c r="B18" s="230"/>
      <c r="C18" s="230"/>
      <c r="D18" s="230"/>
      <c r="E18" s="230"/>
      <c r="F18" s="230"/>
      <c r="G18" s="230"/>
      <c r="H18" s="27">
        <f>2*150*25+2000*25</f>
        <v>57500</v>
      </c>
      <c r="I18" s="41"/>
      <c r="J18" s="27">
        <f>2*150*25+2000*25</f>
        <v>57500</v>
      </c>
      <c r="K18" s="41"/>
      <c r="L18" s="27">
        <f>2*150*25+2000*25</f>
        <v>57500</v>
      </c>
      <c r="M18" s="103">
        <f>SUM(H18,J18,L18)</f>
        <v>172500</v>
      </c>
      <c r="N18" s="158"/>
      <c r="O18" s="193">
        <f>H18*$O$4</f>
        <v>8625</v>
      </c>
      <c r="P18" s="194">
        <f t="shared" si="29"/>
        <v>23000</v>
      </c>
      <c r="Q18" s="194">
        <f t="shared" si="30"/>
        <v>11500</v>
      </c>
      <c r="R18" s="194">
        <f t="shared" si="31"/>
        <v>11500</v>
      </c>
      <c r="S18" s="205">
        <f t="shared" si="32"/>
        <v>2875</v>
      </c>
      <c r="T18" s="203">
        <f t="shared" si="33"/>
        <v>8625</v>
      </c>
      <c r="U18" s="194">
        <f t="shared" si="26"/>
        <v>23000</v>
      </c>
      <c r="V18" s="194">
        <f t="shared" si="34"/>
        <v>11500</v>
      </c>
      <c r="W18" s="194">
        <f t="shared" si="27"/>
        <v>11500</v>
      </c>
      <c r="X18" s="204">
        <f t="shared" si="28"/>
        <v>2875</v>
      </c>
      <c r="Y18" s="193">
        <f t="shared" si="35"/>
        <v>8625</v>
      </c>
      <c r="Z18" s="194">
        <f t="shared" si="36"/>
        <v>23000</v>
      </c>
      <c r="AA18" s="194">
        <f t="shared" si="37"/>
        <v>11500</v>
      </c>
      <c r="AB18" s="194">
        <f t="shared" si="38"/>
        <v>11500</v>
      </c>
      <c r="AC18" s="205">
        <f t="shared" si="39"/>
        <v>2875</v>
      </c>
    </row>
    <row r="19" spans="1:80" s="60" customFormat="1" ht="16.149999999999999" customHeight="1" x14ac:dyDescent="0.25">
      <c r="A19" s="30"/>
      <c r="B19" s="31"/>
      <c r="C19" s="31"/>
      <c r="D19" s="31"/>
      <c r="E19" s="31"/>
      <c r="F19" s="31"/>
      <c r="G19" s="31"/>
      <c r="H19" s="66"/>
      <c r="I19" s="65"/>
      <c r="J19" s="66"/>
      <c r="K19" s="65"/>
      <c r="L19" s="65"/>
      <c r="M19" s="32">
        <f>SUM(M17:M18)</f>
        <v>277500</v>
      </c>
      <c r="N19" s="130"/>
      <c r="O19" s="193"/>
      <c r="P19" s="194">
        <f t="shared" si="29"/>
        <v>0</v>
      </c>
      <c r="Q19" s="194">
        <f t="shared" si="30"/>
        <v>0</v>
      </c>
      <c r="R19" s="194">
        <f t="shared" si="31"/>
        <v>0</v>
      </c>
      <c r="S19" s="205">
        <f t="shared" si="32"/>
        <v>0</v>
      </c>
      <c r="T19" s="203">
        <f t="shared" si="33"/>
        <v>0</v>
      </c>
      <c r="U19" s="194">
        <f t="shared" si="26"/>
        <v>0</v>
      </c>
      <c r="V19" s="194">
        <f t="shared" si="34"/>
        <v>0</v>
      </c>
      <c r="W19" s="194">
        <f t="shared" si="27"/>
        <v>0</v>
      </c>
      <c r="X19" s="204">
        <f t="shared" si="28"/>
        <v>0</v>
      </c>
      <c r="Y19" s="193">
        <f t="shared" si="35"/>
        <v>0</v>
      </c>
      <c r="Z19" s="194">
        <f t="shared" si="36"/>
        <v>0</v>
      </c>
      <c r="AA19" s="194">
        <f t="shared" si="37"/>
        <v>0</v>
      </c>
      <c r="AB19" s="194">
        <f t="shared" si="38"/>
        <v>0</v>
      </c>
      <c r="AC19" s="205">
        <f t="shared" si="39"/>
        <v>0</v>
      </c>
    </row>
    <row r="20" spans="1:80" ht="13.9" customHeight="1" x14ac:dyDescent="0.25">
      <c r="A20" s="244" t="s">
        <v>29</v>
      </c>
      <c r="B20" s="245"/>
      <c r="C20" s="245"/>
      <c r="D20" s="17"/>
      <c r="E20" s="41"/>
      <c r="F20" s="41"/>
      <c r="G20" s="41"/>
      <c r="H20" s="42"/>
      <c r="I20" s="59"/>
      <c r="J20" s="73"/>
      <c r="K20" s="59"/>
      <c r="L20" s="58"/>
      <c r="M20" s="53"/>
      <c r="N20" s="17"/>
      <c r="O20" s="193"/>
      <c r="P20" s="194">
        <f t="shared" si="29"/>
        <v>0</v>
      </c>
      <c r="Q20" s="194">
        <f t="shared" si="30"/>
        <v>0</v>
      </c>
      <c r="R20" s="194">
        <f t="shared" si="31"/>
        <v>0</v>
      </c>
      <c r="S20" s="205">
        <f t="shared" si="32"/>
        <v>0</v>
      </c>
      <c r="T20" s="203">
        <f t="shared" si="33"/>
        <v>0</v>
      </c>
      <c r="U20" s="194">
        <f t="shared" si="26"/>
        <v>0</v>
      </c>
      <c r="V20" s="194">
        <f t="shared" si="34"/>
        <v>0</v>
      </c>
      <c r="W20" s="194">
        <f t="shared" si="27"/>
        <v>0</v>
      </c>
      <c r="X20" s="204">
        <f t="shared" si="28"/>
        <v>0</v>
      </c>
      <c r="Y20" s="193">
        <f t="shared" si="35"/>
        <v>0</v>
      </c>
      <c r="Z20" s="194">
        <f t="shared" si="36"/>
        <v>0</v>
      </c>
      <c r="AA20" s="194">
        <f t="shared" si="37"/>
        <v>0</v>
      </c>
      <c r="AB20" s="194">
        <f t="shared" si="38"/>
        <v>0</v>
      </c>
      <c r="AC20" s="205">
        <f t="shared" si="39"/>
        <v>0</v>
      </c>
    </row>
    <row r="21" spans="1:80" x14ac:dyDescent="0.25">
      <c r="A21" s="264" t="s">
        <v>39</v>
      </c>
      <c r="B21" s="265"/>
      <c r="C21" s="17"/>
      <c r="D21" s="17"/>
      <c r="E21" s="41"/>
      <c r="F21" s="41"/>
      <c r="G21" s="41"/>
      <c r="H21" s="74">
        <v>168600</v>
      </c>
      <c r="I21" s="75"/>
      <c r="J21" s="74">
        <v>50</v>
      </c>
      <c r="K21" s="76"/>
      <c r="L21" s="76">
        <v>50</v>
      </c>
      <c r="M21" s="28">
        <f>SUM(H21, J21, L21)</f>
        <v>168700</v>
      </c>
      <c r="N21" s="41"/>
      <c r="O21" s="193">
        <f>H21*$O$4</f>
        <v>25290</v>
      </c>
      <c r="P21" s="194">
        <f t="shared" si="29"/>
        <v>67440</v>
      </c>
      <c r="Q21" s="194">
        <f t="shared" si="30"/>
        <v>33720</v>
      </c>
      <c r="R21" s="194">
        <f t="shared" si="31"/>
        <v>33720</v>
      </c>
      <c r="S21" s="205">
        <f t="shared" si="32"/>
        <v>8430</v>
      </c>
      <c r="T21" s="203">
        <f t="shared" si="33"/>
        <v>7.5</v>
      </c>
      <c r="U21" s="194">
        <f t="shared" si="26"/>
        <v>20</v>
      </c>
      <c r="V21" s="194">
        <f>J21*$V$4</f>
        <v>10</v>
      </c>
      <c r="W21" s="194">
        <f t="shared" si="27"/>
        <v>10</v>
      </c>
      <c r="X21" s="204">
        <f t="shared" si="28"/>
        <v>2.5</v>
      </c>
      <c r="Y21" s="193">
        <f t="shared" si="35"/>
        <v>7.5</v>
      </c>
      <c r="Z21" s="194">
        <f t="shared" si="36"/>
        <v>20</v>
      </c>
      <c r="AA21" s="194">
        <f t="shared" si="37"/>
        <v>10</v>
      </c>
      <c r="AB21" s="194">
        <f t="shared" si="38"/>
        <v>10</v>
      </c>
      <c r="AC21" s="205">
        <f t="shared" si="39"/>
        <v>2.5</v>
      </c>
    </row>
    <row r="22" spans="1:80" x14ac:dyDescent="0.25">
      <c r="A22" s="264" t="s">
        <v>30</v>
      </c>
      <c r="B22" s="265"/>
      <c r="C22" s="17"/>
      <c r="D22" s="17"/>
      <c r="E22" s="41"/>
      <c r="F22" s="41"/>
      <c r="G22" s="41"/>
      <c r="H22" s="74">
        <f>SUM(E23:E26)</f>
        <v>563000</v>
      </c>
      <c r="I22" s="75"/>
      <c r="J22" s="74">
        <f>SUM(I23,I24,I25,I26)</f>
        <v>513000</v>
      </c>
      <c r="K22" s="76"/>
      <c r="L22" s="74">
        <f>SUM(K23,K24,K25,K26)</f>
        <v>513000</v>
      </c>
      <c r="M22" s="28">
        <f>SUM(H22, J22, L22)</f>
        <v>1589000</v>
      </c>
      <c r="N22" s="41"/>
      <c r="O22" s="193"/>
      <c r="P22" s="194"/>
      <c r="Q22" s="194"/>
      <c r="R22" s="194"/>
      <c r="S22" s="205"/>
      <c r="T22" s="203"/>
      <c r="U22" s="194"/>
      <c r="V22" s="194"/>
      <c r="W22" s="194"/>
      <c r="X22" s="204"/>
      <c r="Y22" s="193"/>
      <c r="Z22" s="194"/>
      <c r="AA22" s="194"/>
      <c r="AB22" s="194"/>
      <c r="AC22" s="205"/>
    </row>
    <row r="23" spans="1:80" ht="15" customHeight="1" x14ac:dyDescent="0.25">
      <c r="A23" s="231" t="s">
        <v>74</v>
      </c>
      <c r="B23" s="232"/>
      <c r="C23" s="232"/>
      <c r="D23" s="232"/>
      <c r="E23" s="77">
        <v>50000</v>
      </c>
      <c r="F23" s="77"/>
      <c r="G23" s="77"/>
      <c r="H23" s="78"/>
      <c r="I23" s="77">
        <f>E23</f>
        <v>50000</v>
      </c>
      <c r="J23" s="78"/>
      <c r="K23" s="77">
        <f>I23</f>
        <v>50000</v>
      </c>
      <c r="L23" s="79"/>
      <c r="M23" s="28"/>
      <c r="N23" s="41"/>
      <c r="O23" s="193">
        <f>E23*$O$4</f>
        <v>7500</v>
      </c>
      <c r="P23" s="194">
        <f>E23*$P$4</f>
        <v>20000</v>
      </c>
      <c r="Q23" s="194">
        <f>E23*$Q$4</f>
        <v>10000</v>
      </c>
      <c r="R23" s="194">
        <f>E23*$R$4</f>
        <v>10000</v>
      </c>
      <c r="S23" s="205">
        <f>E23*$S$4</f>
        <v>2500</v>
      </c>
      <c r="T23" s="203">
        <f>I23*$T$4</f>
        <v>7500</v>
      </c>
      <c r="U23" s="203">
        <f>I23*$U$4</f>
        <v>20000</v>
      </c>
      <c r="V23" s="194">
        <f>I23*$V$4</f>
        <v>10000</v>
      </c>
      <c r="W23" s="194">
        <f>I23*$W$4</f>
        <v>10000</v>
      </c>
      <c r="X23" s="204">
        <f>I23*$X$4</f>
        <v>2500</v>
      </c>
      <c r="Y23" s="193">
        <f>K23*$Y$4</f>
        <v>7500</v>
      </c>
      <c r="Z23" s="194">
        <f>K23*$Z$4</f>
        <v>20000</v>
      </c>
      <c r="AA23" s="194">
        <f>K23*$AA$4</f>
        <v>10000</v>
      </c>
      <c r="AB23" s="194">
        <f>K23*$AB$4</f>
        <v>10000</v>
      </c>
      <c r="AC23" s="205">
        <f>K23*$AC$4</f>
        <v>2500</v>
      </c>
    </row>
    <row r="24" spans="1:80" ht="15" customHeight="1" x14ac:dyDescent="0.25">
      <c r="A24" s="229" t="s">
        <v>31</v>
      </c>
      <c r="B24" s="230"/>
      <c r="E24" s="77">
        <v>250000</v>
      </c>
      <c r="F24" s="77"/>
      <c r="G24" s="77"/>
      <c r="H24" s="78"/>
      <c r="I24" s="77">
        <f>E24</f>
        <v>250000</v>
      </c>
      <c r="J24" s="78"/>
      <c r="K24" s="77">
        <f>I24</f>
        <v>250000</v>
      </c>
      <c r="L24" s="79"/>
      <c r="M24" s="28"/>
      <c r="N24" s="41"/>
      <c r="O24" s="193">
        <f t="shared" ref="O24:O26" si="40">E24*$O$4</f>
        <v>37500</v>
      </c>
      <c r="P24" s="194">
        <f t="shared" ref="P24:P26" si="41">E24*$P$4</f>
        <v>100000</v>
      </c>
      <c r="Q24" s="194">
        <f t="shared" ref="Q24:Q26" si="42">E24*$Q$4</f>
        <v>50000</v>
      </c>
      <c r="R24" s="194">
        <f t="shared" ref="R24:R26" si="43">E24*$R$4</f>
        <v>50000</v>
      </c>
      <c r="S24" s="205">
        <f t="shared" ref="S24:S26" si="44">E24*$S$4</f>
        <v>12500</v>
      </c>
      <c r="T24" s="203">
        <f t="shared" ref="T24:T27" si="45">I24*$T$4</f>
        <v>37500</v>
      </c>
      <c r="U24" s="203">
        <f t="shared" ref="U24:U26" si="46">I24*$U$4</f>
        <v>100000</v>
      </c>
      <c r="V24" s="194">
        <f t="shared" ref="V24:V26" si="47">I24*$V$4</f>
        <v>50000</v>
      </c>
      <c r="W24" s="194">
        <f t="shared" ref="W24:W27" si="48">I24*$W$4</f>
        <v>50000</v>
      </c>
      <c r="X24" s="204">
        <f t="shared" ref="X24:X27" si="49">I24*$X$4</f>
        <v>12500</v>
      </c>
      <c r="Y24" s="193">
        <f t="shared" ref="Y24:Y27" si="50">K24*$Y$4</f>
        <v>37500</v>
      </c>
      <c r="Z24" s="194">
        <f t="shared" ref="Z24:Z26" si="51">K24*$Z$4</f>
        <v>100000</v>
      </c>
      <c r="AA24" s="194">
        <f t="shared" ref="AA24:AA26" si="52">K24*$AA$4</f>
        <v>50000</v>
      </c>
      <c r="AB24" s="194">
        <f t="shared" ref="AB24:AB26" si="53">K24*$AB$4</f>
        <v>50000</v>
      </c>
      <c r="AC24" s="205">
        <f t="shared" ref="AC24:AC27" si="54">K24*$AC$4</f>
        <v>12500</v>
      </c>
    </row>
    <row r="25" spans="1:80" ht="15" customHeight="1" x14ac:dyDescent="0.25">
      <c r="A25" s="231" t="s">
        <v>51</v>
      </c>
      <c r="B25" s="230"/>
      <c r="E25" s="77">
        <v>200500</v>
      </c>
      <c r="F25" s="77"/>
      <c r="G25" s="77"/>
      <c r="H25" s="78"/>
      <c r="I25" s="77">
        <v>150500</v>
      </c>
      <c r="J25" s="78"/>
      <c r="K25" s="77">
        <f>I25</f>
        <v>150500</v>
      </c>
      <c r="L25" s="79"/>
      <c r="M25" s="28"/>
      <c r="N25" s="41"/>
      <c r="O25" s="193">
        <f t="shared" si="40"/>
        <v>30075</v>
      </c>
      <c r="P25" s="194">
        <f t="shared" si="41"/>
        <v>80200</v>
      </c>
      <c r="Q25" s="194">
        <f t="shared" si="42"/>
        <v>40100</v>
      </c>
      <c r="R25" s="194">
        <f t="shared" si="43"/>
        <v>40100</v>
      </c>
      <c r="S25" s="205">
        <f t="shared" si="44"/>
        <v>10025</v>
      </c>
      <c r="T25" s="203">
        <f t="shared" si="45"/>
        <v>22575</v>
      </c>
      <c r="U25" s="203">
        <f t="shared" si="46"/>
        <v>60200</v>
      </c>
      <c r="V25" s="194">
        <f t="shared" si="47"/>
        <v>30100</v>
      </c>
      <c r="W25" s="194">
        <f t="shared" si="48"/>
        <v>30100</v>
      </c>
      <c r="X25" s="204">
        <f t="shared" si="49"/>
        <v>7525</v>
      </c>
      <c r="Y25" s="193">
        <f t="shared" si="50"/>
        <v>22575</v>
      </c>
      <c r="Z25" s="194">
        <f t="shared" si="51"/>
        <v>60200</v>
      </c>
      <c r="AA25" s="194">
        <f t="shared" si="52"/>
        <v>30100</v>
      </c>
      <c r="AB25" s="194">
        <f t="shared" si="53"/>
        <v>30100</v>
      </c>
      <c r="AC25" s="205">
        <f t="shared" si="54"/>
        <v>7525</v>
      </c>
    </row>
    <row r="26" spans="1:80" ht="15" customHeight="1" x14ac:dyDescent="0.25">
      <c r="A26" s="231" t="s">
        <v>50</v>
      </c>
      <c r="B26" s="232"/>
      <c r="E26" s="77">
        <f>25*2500</f>
        <v>62500</v>
      </c>
      <c r="F26" s="77"/>
      <c r="G26" s="77"/>
      <c r="H26" s="78"/>
      <c r="I26" s="77">
        <f>25*2500</f>
        <v>62500</v>
      </c>
      <c r="J26" s="78"/>
      <c r="K26" s="77">
        <f>25*2500</f>
        <v>62500</v>
      </c>
      <c r="L26" s="79"/>
      <c r="M26" s="27"/>
      <c r="N26" s="41"/>
      <c r="O26" s="193">
        <f t="shared" si="40"/>
        <v>9375</v>
      </c>
      <c r="P26" s="194">
        <f t="shared" si="41"/>
        <v>25000</v>
      </c>
      <c r="Q26" s="194">
        <f t="shared" si="42"/>
        <v>12500</v>
      </c>
      <c r="R26" s="194">
        <f t="shared" si="43"/>
        <v>12500</v>
      </c>
      <c r="S26" s="205">
        <f t="shared" si="44"/>
        <v>3125</v>
      </c>
      <c r="T26" s="203">
        <f t="shared" si="45"/>
        <v>9375</v>
      </c>
      <c r="U26" s="203">
        <f t="shared" si="46"/>
        <v>25000</v>
      </c>
      <c r="V26" s="194">
        <f t="shared" si="47"/>
        <v>12500</v>
      </c>
      <c r="W26" s="194">
        <f t="shared" si="48"/>
        <v>12500</v>
      </c>
      <c r="X26" s="204">
        <f t="shared" si="49"/>
        <v>3125</v>
      </c>
      <c r="Y26" s="193">
        <f t="shared" si="50"/>
        <v>9375</v>
      </c>
      <c r="Z26" s="194">
        <f t="shared" si="51"/>
        <v>25000</v>
      </c>
      <c r="AA26" s="194">
        <f t="shared" si="52"/>
        <v>12500</v>
      </c>
      <c r="AB26" s="194">
        <f t="shared" si="53"/>
        <v>12500</v>
      </c>
      <c r="AC26" s="205">
        <f t="shared" si="54"/>
        <v>3125</v>
      </c>
    </row>
    <row r="27" spans="1:80" ht="15" customHeight="1" x14ac:dyDescent="0.25">
      <c r="A27" s="266" t="s">
        <v>69</v>
      </c>
      <c r="B27" s="267"/>
      <c r="C27" s="80"/>
      <c r="D27" s="80"/>
      <c r="E27" s="77"/>
      <c r="F27" s="77"/>
      <c r="G27" s="77"/>
      <c r="H27" s="27">
        <v>0</v>
      </c>
      <c r="I27" s="77"/>
      <c r="J27" s="27">
        <v>0</v>
      </c>
      <c r="K27" s="77"/>
      <c r="L27" s="27">
        <v>0</v>
      </c>
      <c r="M27" s="27">
        <f>L27+J27+H27</f>
        <v>0</v>
      </c>
      <c r="N27" s="41"/>
      <c r="O27" s="193">
        <f>H27*$O$4</f>
        <v>0</v>
      </c>
      <c r="P27" s="194">
        <f>H27*$P$4</f>
        <v>0</v>
      </c>
      <c r="Q27" s="194">
        <f t="shared" si="30"/>
        <v>0</v>
      </c>
      <c r="R27" s="194">
        <f t="shared" si="31"/>
        <v>0</v>
      </c>
      <c r="S27" s="205">
        <f t="shared" si="32"/>
        <v>0</v>
      </c>
      <c r="T27" s="203">
        <f t="shared" si="45"/>
        <v>0</v>
      </c>
      <c r="U27" s="194">
        <f t="shared" ref="U27:U31" si="55">J27*$U$4</f>
        <v>0</v>
      </c>
      <c r="V27" s="194">
        <f t="shared" ref="V27:V31" si="56">J27*$V$4</f>
        <v>0</v>
      </c>
      <c r="W27" s="194">
        <f t="shared" si="48"/>
        <v>0</v>
      </c>
      <c r="X27" s="204">
        <f t="shared" si="49"/>
        <v>0</v>
      </c>
      <c r="Y27" s="193">
        <f t="shared" si="50"/>
        <v>0</v>
      </c>
      <c r="Z27" s="194">
        <f t="shared" si="36"/>
        <v>0</v>
      </c>
      <c r="AA27" s="194">
        <f t="shared" si="37"/>
        <v>0</v>
      </c>
      <c r="AB27" s="194">
        <f>K27*$AB$4</f>
        <v>0</v>
      </c>
      <c r="AC27" s="205">
        <f t="shared" si="54"/>
        <v>0</v>
      </c>
    </row>
    <row r="28" spans="1:80" x14ac:dyDescent="0.25">
      <c r="A28" s="23" t="s">
        <v>32</v>
      </c>
      <c r="H28" s="27">
        <v>0</v>
      </c>
      <c r="I28" s="79"/>
      <c r="J28" s="27">
        <v>0</v>
      </c>
      <c r="K28" s="79"/>
      <c r="L28" s="27">
        <v>0</v>
      </c>
      <c r="M28" s="27">
        <v>0</v>
      </c>
      <c r="N28" s="41"/>
      <c r="O28" s="193">
        <f>H28*$O$4</f>
        <v>0</v>
      </c>
      <c r="P28" s="194">
        <f>H28*$P$4</f>
        <v>0</v>
      </c>
      <c r="Q28" s="194">
        <f t="shared" si="30"/>
        <v>0</v>
      </c>
      <c r="R28" s="194">
        <f t="shared" si="31"/>
        <v>0</v>
      </c>
      <c r="S28" s="205">
        <f t="shared" si="32"/>
        <v>0</v>
      </c>
      <c r="T28" s="203">
        <f t="shared" si="33"/>
        <v>0</v>
      </c>
      <c r="U28" s="194">
        <f t="shared" si="55"/>
        <v>0</v>
      </c>
      <c r="V28" s="194">
        <f t="shared" si="56"/>
        <v>0</v>
      </c>
      <c r="W28" s="194">
        <f t="shared" ref="W28:W31" si="57">J28*$W$4</f>
        <v>0</v>
      </c>
      <c r="X28" s="204">
        <f t="shared" si="28"/>
        <v>0</v>
      </c>
      <c r="Y28" s="193">
        <f t="shared" si="35"/>
        <v>0</v>
      </c>
      <c r="Z28" s="194">
        <f t="shared" si="36"/>
        <v>0</v>
      </c>
      <c r="AA28" s="194">
        <f t="shared" si="37"/>
        <v>0</v>
      </c>
      <c r="AB28" s="194">
        <f t="shared" si="38"/>
        <v>0</v>
      </c>
      <c r="AC28" s="205">
        <f t="shared" si="39"/>
        <v>0</v>
      </c>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row>
    <row r="29" spans="1:80" x14ac:dyDescent="0.25">
      <c r="A29" s="264" t="s">
        <v>33</v>
      </c>
      <c r="B29" s="265"/>
      <c r="E29" s="79"/>
      <c r="F29" s="79"/>
      <c r="G29" s="79"/>
      <c r="H29" s="82">
        <v>0</v>
      </c>
      <c r="J29" s="83">
        <f>H29</f>
        <v>0</v>
      </c>
      <c r="L29" s="84">
        <f>J29</f>
        <v>0</v>
      </c>
      <c r="M29" s="27">
        <v>0</v>
      </c>
      <c r="N29" s="41"/>
      <c r="O29" s="193">
        <f>H29*$O$4</f>
        <v>0</v>
      </c>
      <c r="P29" s="194">
        <f t="shared" si="29"/>
        <v>0</v>
      </c>
      <c r="Q29" s="194">
        <f t="shared" si="30"/>
        <v>0</v>
      </c>
      <c r="R29" s="194">
        <f t="shared" si="31"/>
        <v>0</v>
      </c>
      <c r="S29" s="205">
        <f t="shared" si="32"/>
        <v>0</v>
      </c>
      <c r="T29" s="203">
        <f t="shared" si="33"/>
        <v>0</v>
      </c>
      <c r="U29" s="194">
        <f t="shared" si="55"/>
        <v>0</v>
      </c>
      <c r="V29" s="194">
        <f t="shared" si="56"/>
        <v>0</v>
      </c>
      <c r="W29" s="194">
        <f t="shared" si="57"/>
        <v>0</v>
      </c>
      <c r="X29" s="204">
        <f t="shared" si="28"/>
        <v>0</v>
      </c>
      <c r="Y29" s="193">
        <f t="shared" si="35"/>
        <v>0</v>
      </c>
      <c r="Z29" s="194">
        <f t="shared" si="36"/>
        <v>0</v>
      </c>
      <c r="AA29" s="194">
        <f t="shared" si="37"/>
        <v>0</v>
      </c>
      <c r="AB29" s="194">
        <f t="shared" si="38"/>
        <v>0</v>
      </c>
      <c r="AC29" s="205">
        <f t="shared" si="39"/>
        <v>0</v>
      </c>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row>
    <row r="30" spans="1:80" x14ac:dyDescent="0.25">
      <c r="A30" s="1" t="s">
        <v>76</v>
      </c>
      <c r="H30" s="27">
        <v>75000</v>
      </c>
      <c r="I30" s="79"/>
      <c r="J30" s="27">
        <v>75000</v>
      </c>
      <c r="K30" s="79"/>
      <c r="L30" s="27">
        <v>75000</v>
      </c>
      <c r="M30" s="28">
        <f>SUM(H30,J30,L30)</f>
        <v>225000</v>
      </c>
      <c r="N30" s="41"/>
      <c r="O30" s="193">
        <f>H30*$O$4</f>
        <v>11250</v>
      </c>
      <c r="P30" s="194">
        <f>H30*$P$4</f>
        <v>30000</v>
      </c>
      <c r="Q30" s="194">
        <f t="shared" si="30"/>
        <v>15000</v>
      </c>
      <c r="R30" s="194">
        <f t="shared" si="31"/>
        <v>15000</v>
      </c>
      <c r="S30" s="205">
        <f t="shared" si="32"/>
        <v>3750</v>
      </c>
      <c r="T30" s="203">
        <f t="shared" si="33"/>
        <v>11250</v>
      </c>
      <c r="U30" s="194">
        <f t="shared" si="55"/>
        <v>30000</v>
      </c>
      <c r="V30" s="194">
        <f t="shared" si="56"/>
        <v>15000</v>
      </c>
      <c r="W30" s="194">
        <f t="shared" si="57"/>
        <v>15000</v>
      </c>
      <c r="X30" s="204">
        <f t="shared" si="28"/>
        <v>3750</v>
      </c>
      <c r="Y30" s="193">
        <f t="shared" si="35"/>
        <v>11250</v>
      </c>
      <c r="Z30" s="194">
        <f t="shared" si="36"/>
        <v>30000</v>
      </c>
      <c r="AA30" s="194">
        <f t="shared" si="37"/>
        <v>15000</v>
      </c>
      <c r="AB30" s="194">
        <f t="shared" si="38"/>
        <v>15000</v>
      </c>
      <c r="AC30" s="205">
        <f t="shared" si="39"/>
        <v>3750</v>
      </c>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row>
    <row r="31" spans="1:80" ht="16.149999999999999" customHeight="1" x14ac:dyDescent="0.25">
      <c r="A31" s="23" t="s">
        <v>34</v>
      </c>
      <c r="H31" s="19">
        <v>2000</v>
      </c>
      <c r="I31" s="79"/>
      <c r="J31" s="19">
        <v>2000</v>
      </c>
      <c r="K31" s="79"/>
      <c r="L31" s="19">
        <v>2000</v>
      </c>
      <c r="M31" s="26">
        <f>SUM(H31, J31, L31)</f>
        <v>6000</v>
      </c>
      <c r="N31" s="159"/>
      <c r="O31" s="206">
        <f>H31*$O$4</f>
        <v>300</v>
      </c>
      <c r="P31" s="207">
        <f>H31*$P$4</f>
        <v>800</v>
      </c>
      <c r="Q31" s="207">
        <f t="shared" si="30"/>
        <v>400</v>
      </c>
      <c r="R31" s="207">
        <f t="shared" si="31"/>
        <v>400</v>
      </c>
      <c r="S31" s="208">
        <f t="shared" si="32"/>
        <v>100</v>
      </c>
      <c r="T31" s="203">
        <f>J31*$T$4</f>
        <v>300</v>
      </c>
      <c r="U31" s="194">
        <f t="shared" si="55"/>
        <v>800</v>
      </c>
      <c r="V31" s="194">
        <f t="shared" si="56"/>
        <v>400</v>
      </c>
      <c r="W31" s="194">
        <f t="shared" si="57"/>
        <v>400</v>
      </c>
      <c r="X31" s="204">
        <f t="shared" si="28"/>
        <v>100</v>
      </c>
      <c r="Y31" s="193">
        <f t="shared" si="35"/>
        <v>300</v>
      </c>
      <c r="Z31" s="194">
        <f t="shared" si="36"/>
        <v>800</v>
      </c>
      <c r="AA31" s="194">
        <f t="shared" si="37"/>
        <v>400</v>
      </c>
      <c r="AB31" s="194">
        <f t="shared" si="38"/>
        <v>400</v>
      </c>
      <c r="AC31" s="205">
        <f t="shared" si="39"/>
        <v>100</v>
      </c>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row>
    <row r="32" spans="1:80" ht="13.9" customHeight="1" x14ac:dyDescent="0.25">
      <c r="A32" s="257" t="s">
        <v>5</v>
      </c>
      <c r="B32" s="258"/>
      <c r="C32" s="85"/>
      <c r="D32" s="85"/>
      <c r="E32" s="86"/>
      <c r="F32" s="86"/>
      <c r="G32" s="86"/>
      <c r="H32" s="87"/>
      <c r="I32" s="88"/>
      <c r="J32" s="89"/>
      <c r="K32" s="88"/>
      <c r="L32" s="88"/>
      <c r="M32" s="90">
        <f>SUM(M13, M15, M19,M21,M22,M27,M28,M29,M30,M31)</f>
        <v>2986111</v>
      </c>
      <c r="N32" s="160"/>
      <c r="O32" s="209">
        <f t="shared" ref="O32:AC32" si="58">SUM(O7:O31)</f>
        <v>176785.5</v>
      </c>
      <c r="P32" s="210">
        <f t="shared" si="58"/>
        <v>471428</v>
      </c>
      <c r="Q32" s="210">
        <f t="shared" si="58"/>
        <v>235714</v>
      </c>
      <c r="R32" s="210">
        <f t="shared" si="58"/>
        <v>235714</v>
      </c>
      <c r="S32" s="211">
        <f t="shared" si="58"/>
        <v>58928.5</v>
      </c>
      <c r="T32" s="209">
        <f t="shared" si="58"/>
        <v>137674.95000000001</v>
      </c>
      <c r="U32" s="210">
        <f t="shared" si="58"/>
        <v>367133.2</v>
      </c>
      <c r="V32" s="210">
        <f t="shared" si="58"/>
        <v>183566.6</v>
      </c>
      <c r="W32" s="210">
        <f t="shared" si="58"/>
        <v>183566.6</v>
      </c>
      <c r="X32" s="211">
        <f t="shared" si="58"/>
        <v>45891.65</v>
      </c>
      <c r="Y32" s="209">
        <f t="shared" si="58"/>
        <v>133456.20000000001</v>
      </c>
      <c r="Z32" s="210">
        <f t="shared" si="58"/>
        <v>355883.2</v>
      </c>
      <c r="AA32" s="210">
        <f t="shared" si="58"/>
        <v>177941.6</v>
      </c>
      <c r="AB32" s="210">
        <f t="shared" si="58"/>
        <v>177941.6</v>
      </c>
      <c r="AC32" s="211">
        <f t="shared" si="58"/>
        <v>44485.4</v>
      </c>
    </row>
    <row r="33" spans="1:29" x14ac:dyDescent="0.25">
      <c r="A33" s="259" t="s">
        <v>35</v>
      </c>
      <c r="B33" s="260"/>
      <c r="H33" s="78"/>
      <c r="I33" s="91"/>
      <c r="J33" s="92"/>
      <c r="K33" s="91"/>
      <c r="L33" s="91"/>
      <c r="M33" s="93">
        <f>M32*0.08</f>
        <v>238888.88</v>
      </c>
      <c r="N33" s="161"/>
      <c r="O33" s="212">
        <f t="shared" ref="O33:AC33" si="59">O32*0.08</f>
        <v>14142.84</v>
      </c>
      <c r="P33" s="213">
        <f t="shared" si="59"/>
        <v>37714.239999999998</v>
      </c>
      <c r="Q33" s="213">
        <f t="shared" si="59"/>
        <v>18857.12</v>
      </c>
      <c r="R33" s="213">
        <f t="shared" si="59"/>
        <v>18857.12</v>
      </c>
      <c r="S33" s="214">
        <f t="shared" si="59"/>
        <v>4714.28</v>
      </c>
      <c r="T33" s="212">
        <f t="shared" si="59"/>
        <v>11014</v>
      </c>
      <c r="U33" s="213">
        <f t="shared" si="59"/>
        <v>29370.66</v>
      </c>
      <c r="V33" s="213">
        <f t="shared" si="59"/>
        <v>14685.33</v>
      </c>
      <c r="W33" s="213">
        <f t="shared" si="59"/>
        <v>14685.33</v>
      </c>
      <c r="X33" s="214">
        <f t="shared" si="59"/>
        <v>3671.33</v>
      </c>
      <c r="Y33" s="212">
        <f t="shared" si="59"/>
        <v>10676.5</v>
      </c>
      <c r="Z33" s="213">
        <f t="shared" si="59"/>
        <v>28470.66</v>
      </c>
      <c r="AA33" s="213">
        <f t="shared" si="59"/>
        <v>14235.33</v>
      </c>
      <c r="AB33" s="213">
        <f t="shared" si="59"/>
        <v>14235.33</v>
      </c>
      <c r="AC33" s="214">
        <f t="shared" si="59"/>
        <v>3558.83</v>
      </c>
    </row>
    <row r="34" spans="1:29" s="3" customFormat="1" ht="25.15" customHeight="1" x14ac:dyDescent="0.25">
      <c r="A34" s="261" t="s">
        <v>70</v>
      </c>
      <c r="B34" s="262"/>
      <c r="C34" s="94"/>
      <c r="D34" s="94"/>
      <c r="E34" s="94"/>
      <c r="F34" s="94"/>
      <c r="G34" s="94"/>
      <c r="H34" s="95"/>
      <c r="I34" s="96"/>
      <c r="J34" s="97"/>
      <c r="K34" s="96"/>
      <c r="L34" s="96"/>
      <c r="M34" s="98">
        <f>SUM(M32,M33)</f>
        <v>3224999.88</v>
      </c>
      <c r="N34" s="162"/>
      <c r="O34" s="215">
        <f t="shared" ref="O34:AC34" si="60">SUM(O32:O33)</f>
        <v>190928.34</v>
      </c>
      <c r="P34" s="216">
        <f t="shared" si="60"/>
        <v>509142.24</v>
      </c>
      <c r="Q34" s="216">
        <f t="shared" si="60"/>
        <v>254571.12</v>
      </c>
      <c r="R34" s="216">
        <f t="shared" si="60"/>
        <v>254571.12</v>
      </c>
      <c r="S34" s="217">
        <f t="shared" si="60"/>
        <v>63642.78</v>
      </c>
      <c r="T34" s="215">
        <f t="shared" si="60"/>
        <v>148688.95000000001</v>
      </c>
      <c r="U34" s="216">
        <f t="shared" si="60"/>
        <v>396503.86</v>
      </c>
      <c r="V34" s="216">
        <f t="shared" si="60"/>
        <v>198251.93</v>
      </c>
      <c r="W34" s="216">
        <f t="shared" si="60"/>
        <v>198251.93</v>
      </c>
      <c r="X34" s="217">
        <f t="shared" si="60"/>
        <v>49562.98</v>
      </c>
      <c r="Y34" s="215">
        <f t="shared" si="60"/>
        <v>144132.70000000001</v>
      </c>
      <c r="Z34" s="216">
        <f t="shared" si="60"/>
        <v>384353.86</v>
      </c>
      <c r="AA34" s="216">
        <f t="shared" si="60"/>
        <v>192176.93</v>
      </c>
      <c r="AB34" s="216">
        <f t="shared" si="60"/>
        <v>192176.93</v>
      </c>
      <c r="AC34" s="217">
        <f t="shared" si="60"/>
        <v>48044.23</v>
      </c>
    </row>
    <row r="35" spans="1:29" x14ac:dyDescent="0.25">
      <c r="K35" s="263" t="s">
        <v>71</v>
      </c>
      <c r="L35" s="263"/>
      <c r="M35" s="220">
        <v>3225000</v>
      </c>
      <c r="O35" s="192">
        <f>O34/SUM($O$34:$S$34)</f>
        <v>0.15</v>
      </c>
      <c r="P35" s="192">
        <f t="shared" ref="P35:S35" si="61">P34/SUM($O$34:$S$34)</f>
        <v>0.4</v>
      </c>
      <c r="Q35" s="192">
        <f t="shared" si="61"/>
        <v>0.2</v>
      </c>
      <c r="R35" s="192">
        <f t="shared" si="61"/>
        <v>0.2</v>
      </c>
      <c r="S35" s="192">
        <f t="shared" si="61"/>
        <v>0.05</v>
      </c>
      <c r="T35" s="192">
        <f>T34/SUM($T$34:$X$34)</f>
        <v>0.15</v>
      </c>
      <c r="U35" s="192">
        <f t="shared" ref="U35:X35" si="62">U34/SUM($T$34:$X$34)</f>
        <v>0.4</v>
      </c>
      <c r="V35" s="192">
        <f t="shared" si="62"/>
        <v>0.2</v>
      </c>
      <c r="W35" s="192">
        <f t="shared" si="62"/>
        <v>0.2</v>
      </c>
      <c r="X35" s="192">
        <f t="shared" si="62"/>
        <v>0.05</v>
      </c>
      <c r="Y35" s="192">
        <f>Y34/SUM($Y$34:$AC$34)</f>
        <v>0.15</v>
      </c>
      <c r="Z35" s="192">
        <f t="shared" ref="Z35:AC35" si="63">Z34/SUM($Y$34:$AC$34)</f>
        <v>0.4</v>
      </c>
      <c r="AA35" s="192">
        <f t="shared" si="63"/>
        <v>0.2</v>
      </c>
      <c r="AB35" s="192">
        <f t="shared" si="63"/>
        <v>0.2</v>
      </c>
      <c r="AC35" s="192">
        <f t="shared" si="63"/>
        <v>0.05</v>
      </c>
    </row>
    <row r="36" spans="1:29" x14ac:dyDescent="0.25">
      <c r="P36" s="195"/>
      <c r="U36" s="195"/>
      <c r="Z36" s="195"/>
    </row>
    <row r="37" spans="1:29" ht="49.15" customHeight="1" x14ac:dyDescent="0.25">
      <c r="M37" s="99"/>
      <c r="N37" s="99"/>
      <c r="O37" s="242" t="s">
        <v>57</v>
      </c>
      <c r="P37" s="243"/>
      <c r="Q37" s="243"/>
      <c r="R37" s="243"/>
      <c r="S37" s="219" t="b">
        <f>IF(SUM(O32:S32)=SUM(H13:H31),TRUE,FALSE)</f>
        <v>1</v>
      </c>
      <c r="U37" s="178"/>
      <c r="X37" s="219" t="b">
        <f>IF(SUM(T32:X32)=SUM(J13:J31),TRUE,FALSE)</f>
        <v>1</v>
      </c>
      <c r="Z37" s="178"/>
      <c r="AC37" s="219" t="b">
        <f>IF(SUM(Y32:AC32)=SUM(L13:L31),TRUE,FALSE)</f>
        <v>1</v>
      </c>
    </row>
    <row r="38" spans="1:29" x14ac:dyDescent="0.25">
      <c r="M38" s="91"/>
      <c r="N38" s="91"/>
      <c r="Q38" s="178"/>
      <c r="U38" s="178"/>
      <c r="Z38" s="218"/>
    </row>
    <row r="41" spans="1:29" x14ac:dyDescent="0.25">
      <c r="A41" s="150" t="s">
        <v>9</v>
      </c>
      <c r="B41" s="54"/>
      <c r="C41" s="106"/>
      <c r="D41" s="25"/>
      <c r="E41" s="55"/>
      <c r="F41" s="55"/>
      <c r="G41" s="128">
        <f>F49+F57+F59</f>
        <v>136845</v>
      </c>
      <c r="H41" s="129"/>
      <c r="I41" s="57"/>
      <c r="J41" s="128">
        <f>I49+I57+I59</f>
        <v>136845</v>
      </c>
      <c r="K41" s="129"/>
      <c r="L41" s="57"/>
      <c r="M41" s="128">
        <f>L49+L57+L59</f>
        <v>136845</v>
      </c>
      <c r="N41" s="59">
        <f>SUM(G41:M41)</f>
        <v>410535</v>
      </c>
    </row>
    <row r="42" spans="1:29" x14ac:dyDescent="0.25">
      <c r="A42" s="151"/>
      <c r="B42" s="43"/>
      <c r="C42" s="13"/>
      <c r="D42" s="17"/>
      <c r="E42" s="41"/>
      <c r="F42" s="41"/>
      <c r="G42" s="131"/>
      <c r="H42" s="130"/>
      <c r="I42" s="59"/>
      <c r="J42" s="131"/>
      <c r="K42" s="130"/>
      <c r="L42" s="59"/>
      <c r="M42" s="131"/>
      <c r="N42" s="163"/>
      <c r="O42" s="179"/>
      <c r="P42" s="180"/>
      <c r="T42" s="179"/>
      <c r="U42" s="180"/>
      <c r="Y42" s="179"/>
      <c r="Z42" s="180"/>
    </row>
    <row r="43" spans="1:29" ht="16.149999999999999" customHeight="1" x14ac:dyDescent="0.25">
      <c r="A43" s="233" t="s">
        <v>59</v>
      </c>
      <c r="B43" s="233"/>
      <c r="C43" s="233"/>
      <c r="D43" s="233"/>
      <c r="E43" s="233"/>
      <c r="F43" s="233"/>
      <c r="G43" s="132"/>
      <c r="H43" s="133"/>
      <c r="I43" s="134"/>
      <c r="J43" s="132"/>
      <c r="K43" s="133"/>
      <c r="L43" s="134"/>
      <c r="M43" s="5"/>
      <c r="N43" s="164"/>
      <c r="O43" s="181"/>
      <c r="P43" s="182"/>
      <c r="T43" s="181"/>
      <c r="U43" s="182"/>
      <c r="Y43" s="181"/>
      <c r="Z43" s="182"/>
    </row>
    <row r="44" spans="1:29" x14ac:dyDescent="0.25">
      <c r="A44" s="2"/>
      <c r="B44" s="107" t="s">
        <v>14</v>
      </c>
      <c r="C44" s="107" t="s">
        <v>3</v>
      </c>
      <c r="D44" s="108" t="s">
        <v>15</v>
      </c>
      <c r="E44" s="109" t="s">
        <v>16</v>
      </c>
      <c r="F44" s="110" t="s">
        <v>4</v>
      </c>
      <c r="G44" s="135"/>
      <c r="H44" s="136"/>
      <c r="I44" s="41"/>
      <c r="J44" s="135"/>
      <c r="K44" s="136"/>
      <c r="L44" s="41"/>
      <c r="M44" s="135"/>
      <c r="N44" s="165"/>
      <c r="O44" s="183"/>
      <c r="P44" s="178"/>
      <c r="T44" s="183"/>
      <c r="U44" s="178"/>
      <c r="Y44" s="183"/>
      <c r="Z44" s="178"/>
    </row>
    <row r="45" spans="1:29" x14ac:dyDescent="0.25">
      <c r="A45" s="16"/>
      <c r="B45" s="111">
        <v>31</v>
      </c>
      <c r="C45" s="111">
        <v>2</v>
      </c>
      <c r="D45" s="69">
        <v>2</v>
      </c>
      <c r="E45" s="112"/>
      <c r="F45" s="43"/>
      <c r="G45" s="137"/>
      <c r="H45" s="138"/>
      <c r="I45" s="104"/>
      <c r="J45" s="137"/>
      <c r="K45" s="138"/>
      <c r="L45" s="104"/>
      <c r="M45" s="137"/>
      <c r="N45" s="166"/>
      <c r="O45" s="184"/>
      <c r="P45" s="185"/>
      <c r="T45" s="184"/>
      <c r="U45" s="185"/>
      <c r="Y45" s="184"/>
      <c r="Z45" s="185"/>
    </row>
    <row r="46" spans="1:29" x14ac:dyDescent="0.25">
      <c r="A46" s="14" t="s">
        <v>17</v>
      </c>
      <c r="B46" s="113"/>
      <c r="C46" s="113"/>
      <c r="D46" s="114"/>
      <c r="E46" s="115">
        <v>600</v>
      </c>
      <c r="F46" s="116">
        <f>E46*B45*C45</f>
        <v>37200</v>
      </c>
      <c r="G46" s="139"/>
      <c r="H46" s="140"/>
      <c r="I46" s="116">
        <f>F46</f>
        <v>37200</v>
      </c>
      <c r="J46" s="139"/>
      <c r="K46" s="140"/>
      <c r="L46" s="116">
        <f>F46</f>
        <v>37200</v>
      </c>
      <c r="M46" s="139"/>
      <c r="N46" s="167"/>
      <c r="O46" s="186"/>
      <c r="P46" s="187"/>
      <c r="T46" s="186"/>
      <c r="U46" s="187"/>
      <c r="Y46" s="186"/>
      <c r="Z46" s="187"/>
    </row>
    <row r="47" spans="1:29" x14ac:dyDescent="0.25">
      <c r="A47" s="14" t="s">
        <v>18</v>
      </c>
      <c r="B47" s="113"/>
      <c r="C47" s="113"/>
      <c r="D47" s="114"/>
      <c r="E47" s="115">
        <f>60+250</f>
        <v>310</v>
      </c>
      <c r="F47" s="116">
        <f>E47*B45*C45*D45</f>
        <v>38440</v>
      </c>
      <c r="G47" s="139"/>
      <c r="H47" s="140"/>
      <c r="I47" s="116">
        <f>F47</f>
        <v>38440</v>
      </c>
      <c r="J47" s="139"/>
      <c r="K47" s="140"/>
      <c r="L47" s="116">
        <f>F47</f>
        <v>38440</v>
      </c>
      <c r="M47" s="139"/>
      <c r="N47" s="167"/>
      <c r="O47" s="186"/>
      <c r="P47" s="187"/>
      <c r="T47" s="186"/>
      <c r="U47" s="187"/>
      <c r="Y47" s="186"/>
      <c r="Z47" s="187"/>
    </row>
    <row r="48" spans="1:29" ht="31.5" x14ac:dyDescent="0.25">
      <c r="A48" s="14" t="s">
        <v>19</v>
      </c>
      <c r="B48" s="113"/>
      <c r="C48" s="113"/>
      <c r="D48" s="117"/>
      <c r="E48" s="118">
        <v>75</v>
      </c>
      <c r="F48" s="116">
        <f>E48*C45*B45</f>
        <v>4650</v>
      </c>
      <c r="G48" s="139"/>
      <c r="H48" s="140"/>
      <c r="I48" s="116">
        <f>F48:F62</f>
        <v>4650</v>
      </c>
      <c r="J48" s="139"/>
      <c r="K48" s="140"/>
      <c r="L48" s="116">
        <f>F48</f>
        <v>4650</v>
      </c>
      <c r="M48" s="139"/>
      <c r="N48" s="167"/>
      <c r="O48" s="186"/>
      <c r="P48" s="187"/>
      <c r="T48" s="186"/>
      <c r="U48" s="187"/>
      <c r="Y48" s="186"/>
      <c r="Z48" s="187"/>
    </row>
    <row r="49" spans="1:26" x14ac:dyDescent="0.25">
      <c r="A49" s="119" t="s">
        <v>20</v>
      </c>
      <c r="B49" s="120"/>
      <c r="C49" s="120"/>
      <c r="D49" s="120"/>
      <c r="E49" s="121"/>
      <c r="F49" s="122">
        <f>SUM(F46:F48)</f>
        <v>80290</v>
      </c>
      <c r="G49" s="5"/>
      <c r="H49" s="79"/>
      <c r="I49" s="122">
        <f>SUM(I46:I48)</f>
        <v>80290</v>
      </c>
      <c r="J49" s="5"/>
      <c r="L49" s="122">
        <f>SUM(L46:L48)</f>
        <v>80290</v>
      </c>
      <c r="M49" s="5"/>
      <c r="N49" s="164"/>
      <c r="O49" s="188"/>
      <c r="P49" s="174"/>
      <c r="T49" s="188"/>
      <c r="U49" s="174"/>
      <c r="Y49" s="188"/>
      <c r="Z49" s="174"/>
    </row>
    <row r="50" spans="1:26" ht="16.149999999999999" customHeight="1" x14ac:dyDescent="0.25">
      <c r="A50" s="233" t="s">
        <v>72</v>
      </c>
      <c r="B50" s="233"/>
      <c r="C50" s="233"/>
      <c r="D50" s="233"/>
      <c r="E50" s="233"/>
      <c r="F50" s="233"/>
      <c r="G50" s="132"/>
      <c r="H50" s="133"/>
      <c r="I50" s="134"/>
      <c r="J50" s="132"/>
      <c r="K50" s="133"/>
      <c r="L50" s="134"/>
      <c r="M50" s="5"/>
      <c r="N50" s="164"/>
      <c r="O50" s="181"/>
      <c r="P50" s="182"/>
      <c r="T50" s="181"/>
      <c r="U50" s="182"/>
      <c r="Y50" s="181"/>
      <c r="Z50" s="182"/>
    </row>
    <row r="51" spans="1:26" x14ac:dyDescent="0.25">
      <c r="A51" s="2"/>
      <c r="B51" s="107" t="s">
        <v>14</v>
      </c>
      <c r="C51" s="107" t="s">
        <v>3</v>
      </c>
      <c r="D51" s="108" t="s">
        <v>15</v>
      </c>
      <c r="E51" s="109" t="s">
        <v>16</v>
      </c>
      <c r="F51" s="110" t="s">
        <v>4</v>
      </c>
      <c r="G51" s="135"/>
      <c r="H51" s="136"/>
      <c r="I51" s="41"/>
      <c r="J51" s="135"/>
      <c r="K51" s="136"/>
      <c r="L51" s="41"/>
      <c r="M51" s="135"/>
      <c r="N51" s="165"/>
      <c r="O51" s="183"/>
      <c r="P51" s="178"/>
      <c r="T51" s="183"/>
      <c r="U51" s="178"/>
      <c r="Y51" s="183"/>
      <c r="Z51" s="178"/>
    </row>
    <row r="52" spans="1:26" x14ac:dyDescent="0.25">
      <c r="A52" s="16"/>
      <c r="B52" s="111">
        <v>31</v>
      </c>
      <c r="C52" s="111">
        <v>1</v>
      </c>
      <c r="D52" s="69">
        <v>3.5</v>
      </c>
      <c r="E52" s="112"/>
      <c r="F52" s="43"/>
      <c r="G52" s="137"/>
      <c r="H52" s="138"/>
      <c r="I52" s="104"/>
      <c r="J52" s="137"/>
      <c r="K52" s="138"/>
      <c r="L52" s="104"/>
      <c r="M52" s="137"/>
      <c r="N52" s="166"/>
      <c r="O52" s="184"/>
      <c r="P52" s="185"/>
      <c r="T52" s="184"/>
      <c r="U52" s="185"/>
      <c r="Y52" s="184"/>
      <c r="Z52" s="185"/>
    </row>
    <row r="53" spans="1:26" x14ac:dyDescent="0.25">
      <c r="A53" s="14" t="s">
        <v>17</v>
      </c>
      <c r="B53" s="113"/>
      <c r="C53" s="113"/>
      <c r="D53" s="114"/>
      <c r="E53" s="115">
        <v>500</v>
      </c>
      <c r="F53" s="116">
        <f>E53*B52*C52</f>
        <v>15500</v>
      </c>
      <c r="G53" s="139"/>
      <c r="H53" s="140"/>
      <c r="I53" s="116">
        <f>F53</f>
        <v>15500</v>
      </c>
      <c r="J53" s="139"/>
      <c r="K53" s="140"/>
      <c r="L53" s="116">
        <f>F53</f>
        <v>15500</v>
      </c>
      <c r="M53" s="139"/>
      <c r="N53" s="167"/>
      <c r="O53" s="186"/>
      <c r="P53" s="187"/>
      <c r="T53" s="186"/>
      <c r="U53" s="187"/>
      <c r="Y53" s="186"/>
      <c r="Z53" s="187"/>
    </row>
    <row r="54" spans="1:26" x14ac:dyDescent="0.25">
      <c r="A54" s="14" t="s">
        <v>21</v>
      </c>
      <c r="B54" s="113"/>
      <c r="C54" s="113"/>
      <c r="D54" s="114"/>
      <c r="E54" s="115">
        <v>300</v>
      </c>
      <c r="F54" s="116">
        <f>E54*B52</f>
        <v>9300</v>
      </c>
      <c r="G54" s="139"/>
      <c r="H54" s="140"/>
      <c r="I54" s="116">
        <f>F54</f>
        <v>9300</v>
      </c>
      <c r="J54" s="139"/>
      <c r="K54" s="140"/>
      <c r="L54" s="116">
        <f>F54</f>
        <v>9300</v>
      </c>
      <c r="M54" s="139"/>
      <c r="N54" s="174" t="s">
        <v>13</v>
      </c>
      <c r="P54" s="187"/>
      <c r="T54" s="174" t="s">
        <v>13</v>
      </c>
      <c r="U54" s="187"/>
      <c r="Y54" s="174" t="s">
        <v>13</v>
      </c>
      <c r="Z54" s="187"/>
    </row>
    <row r="55" spans="1:26" x14ac:dyDescent="0.25">
      <c r="A55" s="14" t="s">
        <v>18</v>
      </c>
      <c r="B55" s="113"/>
      <c r="C55" s="113"/>
      <c r="D55" s="114"/>
      <c r="E55" s="115">
        <f>60+200</f>
        <v>260</v>
      </c>
      <c r="F55" s="116">
        <f>E55*B52*C52*D52</f>
        <v>28210</v>
      </c>
      <c r="G55" s="139"/>
      <c r="H55" s="140"/>
      <c r="I55" s="116">
        <f>F55</f>
        <v>28210</v>
      </c>
      <c r="J55" s="139"/>
      <c r="K55" s="140"/>
      <c r="L55" s="116">
        <f>F55</f>
        <v>28210</v>
      </c>
      <c r="M55" s="139"/>
      <c r="N55" s="177">
        <v>60</v>
      </c>
      <c r="P55" s="187"/>
      <c r="T55" s="177">
        <v>60</v>
      </c>
      <c r="U55" s="187"/>
      <c r="Y55" s="177">
        <v>60</v>
      </c>
      <c r="Z55" s="187"/>
    </row>
    <row r="56" spans="1:26" ht="31.5" x14ac:dyDescent="0.25">
      <c r="A56" s="14" t="s">
        <v>19</v>
      </c>
      <c r="B56" s="113"/>
      <c r="C56" s="113"/>
      <c r="D56" s="117"/>
      <c r="E56" s="118">
        <v>75</v>
      </c>
      <c r="F56" s="116">
        <f>E56*C52*B52</f>
        <v>2325</v>
      </c>
      <c r="G56" s="139"/>
      <c r="H56" s="140"/>
      <c r="I56" s="116">
        <f>F56</f>
        <v>2325</v>
      </c>
      <c r="J56" s="139"/>
      <c r="K56" s="140"/>
      <c r="L56" s="116">
        <f>F56</f>
        <v>2325</v>
      </c>
      <c r="M56" s="139"/>
      <c r="N56" s="174"/>
      <c r="P56" s="187"/>
      <c r="U56" s="187"/>
      <c r="Z56" s="187"/>
    </row>
    <row r="57" spans="1:26" x14ac:dyDescent="0.25">
      <c r="A57" s="119" t="s">
        <v>20</v>
      </c>
      <c r="B57" s="120"/>
      <c r="C57" s="120"/>
      <c r="D57" s="120"/>
      <c r="E57" s="121"/>
      <c r="F57" s="122">
        <f>SUM(F53:F56)</f>
        <v>55335</v>
      </c>
      <c r="G57" s="5"/>
      <c r="H57" s="79"/>
      <c r="I57" s="122">
        <f>SUM(I53:I56)</f>
        <v>55335</v>
      </c>
      <c r="J57" s="5"/>
      <c r="L57" s="122">
        <f>SUM(L53:L56)</f>
        <v>55335</v>
      </c>
      <c r="M57" s="5"/>
      <c r="N57" s="174"/>
      <c r="P57" s="174"/>
      <c r="U57" s="174"/>
      <c r="Z57" s="174"/>
    </row>
    <row r="58" spans="1:26" ht="16.149999999999999" customHeight="1" x14ac:dyDescent="0.25">
      <c r="A58" s="227" t="s">
        <v>42</v>
      </c>
      <c r="B58" s="228"/>
      <c r="C58" s="123"/>
      <c r="D58" s="124" t="s">
        <v>3</v>
      </c>
      <c r="E58" s="125" t="s">
        <v>23</v>
      </c>
      <c r="F58" s="43"/>
      <c r="G58" s="135"/>
      <c r="H58" s="136"/>
      <c r="I58" s="81"/>
      <c r="J58" s="135"/>
      <c r="K58" s="141"/>
      <c r="L58" s="81"/>
      <c r="M58" s="135"/>
      <c r="N58" s="189" t="s">
        <v>0</v>
      </c>
      <c r="P58" s="178"/>
      <c r="T58" s="189" t="s">
        <v>0</v>
      </c>
      <c r="U58" s="178"/>
      <c r="Y58" s="189" t="s">
        <v>0</v>
      </c>
      <c r="Z58" s="178"/>
    </row>
    <row r="59" spans="1:26" x14ac:dyDescent="0.25">
      <c r="A59" s="4"/>
      <c r="B59" s="60"/>
      <c r="C59" s="126"/>
      <c r="D59" s="61">
        <f>3*12</f>
        <v>36</v>
      </c>
      <c r="E59" s="127">
        <v>60</v>
      </c>
      <c r="F59" s="65">
        <f>D59*E59*N59</f>
        <v>1220</v>
      </c>
      <c r="G59" s="142"/>
      <c r="H59" s="143"/>
      <c r="I59" s="65">
        <f>F59</f>
        <v>1220</v>
      </c>
      <c r="J59" s="142"/>
      <c r="K59" s="144"/>
      <c r="L59" s="65">
        <f>I59</f>
        <v>1220</v>
      </c>
      <c r="M59" s="142"/>
      <c r="N59" s="190">
        <v>0.56499999999999995</v>
      </c>
      <c r="P59" s="191"/>
      <c r="T59" s="190">
        <v>0.56499999999999995</v>
      </c>
      <c r="U59" s="191"/>
      <c r="Y59" s="190">
        <v>0.56499999999999995</v>
      </c>
      <c r="Z59" s="191"/>
    </row>
  </sheetData>
  <mergeCells count="31">
    <mergeCell ref="A1:N1"/>
    <mergeCell ref="A32:B32"/>
    <mergeCell ref="A33:B33"/>
    <mergeCell ref="A34:B34"/>
    <mergeCell ref="K35:L35"/>
    <mergeCell ref="A21:B21"/>
    <mergeCell ref="A22:B22"/>
    <mergeCell ref="A27:B27"/>
    <mergeCell ref="A29:B29"/>
    <mergeCell ref="A23:D23"/>
    <mergeCell ref="A2:M2"/>
    <mergeCell ref="Y3:AC3"/>
    <mergeCell ref="C4:H4"/>
    <mergeCell ref="I4:J4"/>
    <mergeCell ref="K4:L4"/>
    <mergeCell ref="O37:R37"/>
    <mergeCell ref="A20:C20"/>
    <mergeCell ref="A3:M3"/>
    <mergeCell ref="O3:S3"/>
    <mergeCell ref="T3:X3"/>
    <mergeCell ref="A6:B6"/>
    <mergeCell ref="A15:C15"/>
    <mergeCell ref="A16:B16"/>
    <mergeCell ref="A17:G17"/>
    <mergeCell ref="A18:G18"/>
    <mergeCell ref="A58:B58"/>
    <mergeCell ref="A24:B24"/>
    <mergeCell ref="A25:B25"/>
    <mergeCell ref="A26:B26"/>
    <mergeCell ref="A43:F43"/>
    <mergeCell ref="A50:F50"/>
  </mergeCells>
  <pageMargins left="0.75" right="0.75" top="1" bottom="1" header="0.5" footer="0.5"/>
  <pageSetup scale="50" orientation="landscape" horizontalDpi="4294967292" verticalDpi="4294967292"/>
  <colBreaks count="1" manualBreakCount="1">
    <brk id="14"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5"/>
  <sheetViews>
    <sheetView workbookViewId="0">
      <selection sqref="A1:N1"/>
    </sheetView>
  </sheetViews>
  <sheetFormatPr defaultColWidth="10.625" defaultRowHeight="15.75" x14ac:dyDescent="0.25"/>
  <cols>
    <col min="1" max="1" width="15.5" style="7" customWidth="1"/>
    <col min="2" max="2" width="28.875" style="2" customWidth="1"/>
    <col min="3" max="4" width="8" style="2" customWidth="1"/>
    <col min="5" max="5" width="9.125" style="2" customWidth="1"/>
    <col min="6" max="6" width="9" style="2" customWidth="1"/>
    <col min="7" max="7" width="12.625" style="2" customWidth="1"/>
    <col min="8" max="8" width="11.375" style="2" customWidth="1"/>
    <col min="9" max="9" width="10" style="2" customWidth="1"/>
    <col min="10" max="10" width="11.375" style="2" customWidth="1"/>
    <col min="11" max="11" width="11.5" style="2" customWidth="1"/>
    <col min="12" max="12" width="11.375" style="2" customWidth="1"/>
    <col min="13" max="14" width="13.375" style="2" customWidth="1"/>
    <col min="15" max="15" width="16" style="174" customWidth="1"/>
    <col min="16" max="17" width="12.375" style="176" customWidth="1"/>
    <col min="18" max="18" width="11.375" style="176" customWidth="1"/>
    <col min="19" max="19" width="11.375" style="176" bestFit="1" customWidth="1"/>
    <col min="20" max="20" width="16" style="174" customWidth="1"/>
    <col min="21" max="21" width="12.375" style="176" customWidth="1"/>
    <col min="22" max="22" width="10.875" style="176" customWidth="1"/>
    <col min="23" max="23" width="11.375" style="176" customWidth="1"/>
    <col min="24" max="24" width="11.375" style="176" bestFit="1" customWidth="1"/>
    <col min="25" max="25" width="16" style="174" customWidth="1"/>
    <col min="26" max="26" width="12.375" style="176" customWidth="1"/>
    <col min="27" max="27" width="10.875" style="176" customWidth="1"/>
    <col min="28" max="28" width="11.375" style="176" customWidth="1"/>
    <col min="29" max="29" width="11.375" style="176" bestFit="1" customWidth="1"/>
    <col min="30" max="16384" width="10.625" style="2"/>
  </cols>
  <sheetData>
    <row r="1" spans="1:29" ht="67.900000000000006" customHeight="1" x14ac:dyDescent="0.25">
      <c r="A1" s="255" t="s">
        <v>81</v>
      </c>
      <c r="B1" s="256"/>
      <c r="C1" s="256"/>
      <c r="D1" s="256"/>
      <c r="E1" s="256"/>
      <c r="F1" s="256"/>
      <c r="G1" s="256"/>
      <c r="H1" s="256"/>
      <c r="I1" s="256"/>
      <c r="J1" s="256"/>
      <c r="K1" s="256"/>
      <c r="L1" s="256"/>
      <c r="M1" s="256"/>
      <c r="N1" s="256"/>
    </row>
    <row r="2" spans="1:29" s="34" customFormat="1" ht="42" customHeight="1" x14ac:dyDescent="0.2">
      <c r="A2" s="268" t="s">
        <v>82</v>
      </c>
      <c r="B2" s="269"/>
      <c r="C2" s="269"/>
      <c r="D2" s="269"/>
      <c r="E2" s="269"/>
      <c r="F2" s="269"/>
      <c r="G2" s="269"/>
      <c r="H2" s="269"/>
      <c r="I2" s="269"/>
      <c r="J2" s="269"/>
      <c r="K2" s="269"/>
      <c r="L2" s="269"/>
      <c r="M2" s="269"/>
      <c r="N2" s="170"/>
      <c r="O2" s="196" t="s">
        <v>52</v>
      </c>
      <c r="P2" s="197" t="s">
        <v>53</v>
      </c>
      <c r="Q2" s="197" t="s">
        <v>54</v>
      </c>
      <c r="R2" s="197" t="s">
        <v>55</v>
      </c>
      <c r="S2" s="198" t="s">
        <v>56</v>
      </c>
      <c r="T2" s="196" t="s">
        <v>52</v>
      </c>
      <c r="U2" s="197" t="s">
        <v>53</v>
      </c>
      <c r="V2" s="197" t="s">
        <v>54</v>
      </c>
      <c r="W2" s="197" t="s">
        <v>55</v>
      </c>
      <c r="X2" s="198" t="s">
        <v>56</v>
      </c>
      <c r="Y2" s="196" t="s">
        <v>52</v>
      </c>
      <c r="Z2" s="197" t="s">
        <v>53</v>
      </c>
      <c r="AA2" s="197" t="s">
        <v>54</v>
      </c>
      <c r="AB2" s="197" t="s">
        <v>55</v>
      </c>
      <c r="AC2" s="198" t="s">
        <v>56</v>
      </c>
    </row>
    <row r="3" spans="1:29" x14ac:dyDescent="0.25">
      <c r="A3" s="246" t="s">
        <v>78</v>
      </c>
      <c r="B3" s="247"/>
      <c r="C3" s="247"/>
      <c r="D3" s="247"/>
      <c r="E3" s="247"/>
      <c r="F3" s="247"/>
      <c r="G3" s="247"/>
      <c r="H3" s="247"/>
      <c r="I3" s="247"/>
      <c r="J3" s="247"/>
      <c r="K3" s="247"/>
      <c r="L3" s="247"/>
      <c r="M3" s="247"/>
      <c r="N3" s="171"/>
      <c r="O3" s="234" t="s">
        <v>47</v>
      </c>
      <c r="P3" s="235"/>
      <c r="Q3" s="235"/>
      <c r="R3" s="235"/>
      <c r="S3" s="236"/>
      <c r="T3" s="234" t="s">
        <v>48</v>
      </c>
      <c r="U3" s="235"/>
      <c r="V3" s="235"/>
      <c r="W3" s="235"/>
      <c r="X3" s="236"/>
      <c r="Y3" s="234" t="s">
        <v>49</v>
      </c>
      <c r="Z3" s="235"/>
      <c r="AA3" s="235"/>
      <c r="AB3" s="235"/>
      <c r="AC3" s="236"/>
    </row>
    <row r="4" spans="1:29" ht="16.149999999999999" customHeight="1" x14ac:dyDescent="0.25">
      <c r="A4" s="24" t="s">
        <v>1</v>
      </c>
      <c r="B4" s="172"/>
      <c r="C4" s="237" t="s">
        <v>2</v>
      </c>
      <c r="D4" s="237"/>
      <c r="E4" s="237"/>
      <c r="F4" s="237"/>
      <c r="G4" s="237"/>
      <c r="H4" s="237"/>
      <c r="I4" s="238" t="s">
        <v>12</v>
      </c>
      <c r="J4" s="239"/>
      <c r="K4" s="240" t="s">
        <v>10</v>
      </c>
      <c r="L4" s="241"/>
      <c r="M4" s="36" t="s">
        <v>6</v>
      </c>
      <c r="N4" s="155"/>
      <c r="O4" s="199">
        <v>0.15</v>
      </c>
      <c r="P4" s="173">
        <v>0.4</v>
      </c>
      <c r="Q4" s="173">
        <v>0.2</v>
      </c>
      <c r="R4" s="173">
        <v>0.2</v>
      </c>
      <c r="S4" s="200">
        <v>0.05</v>
      </c>
      <c r="T4" s="199">
        <v>0.15</v>
      </c>
      <c r="U4" s="173">
        <v>0.4</v>
      </c>
      <c r="V4" s="173">
        <v>0.2</v>
      </c>
      <c r="W4" s="173">
        <v>0.2</v>
      </c>
      <c r="X4" s="200">
        <v>0.05</v>
      </c>
      <c r="Y4" s="199">
        <v>0.15</v>
      </c>
      <c r="Z4" s="173">
        <v>0.4</v>
      </c>
      <c r="AA4" s="173">
        <v>0.2</v>
      </c>
      <c r="AB4" s="173">
        <v>0.2</v>
      </c>
      <c r="AC4" s="200">
        <v>0.05</v>
      </c>
    </row>
    <row r="5" spans="1:29" x14ac:dyDescent="0.25">
      <c r="A5" s="21" t="s">
        <v>37</v>
      </c>
      <c r="B5" s="11" t="s">
        <v>38</v>
      </c>
      <c r="C5" s="11" t="s">
        <v>25</v>
      </c>
      <c r="D5" s="11" t="s">
        <v>26</v>
      </c>
      <c r="E5" s="12" t="s">
        <v>11</v>
      </c>
      <c r="F5" s="12" t="s">
        <v>27</v>
      </c>
      <c r="G5" s="12" t="s">
        <v>73</v>
      </c>
      <c r="H5" s="37" t="s">
        <v>4</v>
      </c>
      <c r="I5" s="12" t="s">
        <v>11</v>
      </c>
      <c r="J5" s="37" t="s">
        <v>4</v>
      </c>
      <c r="K5" s="12" t="s">
        <v>11</v>
      </c>
      <c r="L5" s="38" t="s">
        <v>4</v>
      </c>
      <c r="M5" s="39"/>
      <c r="N5" s="40" t="s">
        <v>22</v>
      </c>
      <c r="O5" s="201"/>
      <c r="P5" s="175"/>
      <c r="Q5" s="175"/>
      <c r="R5" s="175"/>
      <c r="S5" s="202"/>
      <c r="T5" s="201"/>
      <c r="U5" s="175"/>
      <c r="V5" s="175"/>
      <c r="W5" s="175"/>
      <c r="X5" s="202"/>
      <c r="Y5" s="201"/>
      <c r="Z5" s="175"/>
      <c r="AA5" s="175"/>
      <c r="AB5" s="175"/>
      <c r="AC5" s="202"/>
    </row>
    <row r="6" spans="1:29" ht="31.9" customHeight="1" x14ac:dyDescent="0.25">
      <c r="A6" s="248" t="s">
        <v>7</v>
      </c>
      <c r="B6" s="249"/>
      <c r="C6" s="17"/>
      <c r="D6" s="17"/>
      <c r="E6" s="41"/>
      <c r="F6" s="41"/>
      <c r="G6" s="41"/>
      <c r="H6" s="42"/>
      <c r="I6" s="41"/>
      <c r="J6" s="42"/>
      <c r="K6" s="41"/>
      <c r="L6" s="43"/>
      <c r="M6" s="28"/>
      <c r="N6" s="8" t="s">
        <v>8</v>
      </c>
      <c r="O6" s="201"/>
      <c r="P6" s="175"/>
      <c r="Q6" s="175"/>
      <c r="R6" s="175"/>
      <c r="S6" s="202"/>
      <c r="T6" s="201"/>
      <c r="U6" s="175"/>
      <c r="V6" s="175"/>
      <c r="W6" s="175"/>
      <c r="X6" s="202"/>
      <c r="Y6" s="201"/>
      <c r="Z6" s="175"/>
      <c r="AA6" s="175"/>
      <c r="AB6" s="175"/>
      <c r="AC6" s="202"/>
    </row>
    <row r="7" spans="1:29" ht="16.149999999999999" customHeight="1" x14ac:dyDescent="0.25">
      <c r="A7" s="44" t="s">
        <v>24</v>
      </c>
      <c r="B7" s="153" t="s">
        <v>60</v>
      </c>
      <c r="C7" s="45">
        <v>75000</v>
      </c>
      <c r="D7" s="45">
        <v>12</v>
      </c>
      <c r="E7" s="46">
        <v>1</v>
      </c>
      <c r="F7" s="47">
        <f>E7*C7</f>
        <v>75000</v>
      </c>
      <c r="G7" s="47">
        <f>F7*0.25</f>
        <v>18750</v>
      </c>
      <c r="H7" s="18">
        <f t="shared" ref="H7:H8" si="0">C7*E7+G7</f>
        <v>93750</v>
      </c>
      <c r="I7" s="46">
        <v>0.5</v>
      </c>
      <c r="J7" s="18">
        <f>(I7*C7)*0.25+(I7*C7)</f>
        <v>46875</v>
      </c>
      <c r="K7" s="46">
        <v>0.25</v>
      </c>
      <c r="L7" s="18">
        <f>(K7*C7)*0.25+(K7*C7)</f>
        <v>23438</v>
      </c>
      <c r="M7" s="48"/>
      <c r="N7" s="9">
        <v>113169</v>
      </c>
      <c r="O7" s="203">
        <f>H7*$O$4</f>
        <v>14062.5</v>
      </c>
      <c r="P7" s="194">
        <f>H7*$P$4</f>
        <v>37500</v>
      </c>
      <c r="Q7" s="194">
        <f>H7*$Q$4</f>
        <v>18750</v>
      </c>
      <c r="R7" s="194">
        <f>H7*$R$4</f>
        <v>18750</v>
      </c>
      <c r="S7" s="204">
        <f>H7*$S$4</f>
        <v>4687.5</v>
      </c>
      <c r="T7" s="203">
        <f>J7*$T$4</f>
        <v>7031.25</v>
      </c>
      <c r="U7" s="194">
        <f>J7*$U$4</f>
        <v>18750</v>
      </c>
      <c r="V7" s="194">
        <f>J7*$V$4</f>
        <v>9375</v>
      </c>
      <c r="W7" s="194">
        <f>J7*$W$4</f>
        <v>9375</v>
      </c>
      <c r="X7" s="204">
        <f>J7*$X$4</f>
        <v>2343.75</v>
      </c>
      <c r="Y7" s="203">
        <f>L7*$Y$4</f>
        <v>3515.7</v>
      </c>
      <c r="Z7" s="194">
        <f>L7*$Z$4</f>
        <v>9375.2000000000007</v>
      </c>
      <c r="AA7" s="194">
        <f>L7*$AA$4</f>
        <v>4687.6000000000004</v>
      </c>
      <c r="AB7" s="194">
        <f>L7*$AB$4</f>
        <v>4687.6000000000004</v>
      </c>
      <c r="AC7" s="204">
        <f>L7*$AC$4</f>
        <v>1171.9000000000001</v>
      </c>
    </row>
    <row r="8" spans="1:29" ht="16.149999999999999" customHeight="1" x14ac:dyDescent="0.25">
      <c r="A8" s="44" t="s">
        <v>24</v>
      </c>
      <c r="B8" s="154" t="s">
        <v>46</v>
      </c>
      <c r="C8" s="100">
        <v>60000</v>
      </c>
      <c r="D8" s="45">
        <v>12</v>
      </c>
      <c r="E8" s="49">
        <v>1</v>
      </c>
      <c r="F8" s="47">
        <f>E8*C8</f>
        <v>60000</v>
      </c>
      <c r="G8" s="47">
        <f>F8*0.25</f>
        <v>15000</v>
      </c>
      <c r="H8" s="18">
        <f t="shared" si="0"/>
        <v>75000</v>
      </c>
      <c r="I8" s="49">
        <v>0.5</v>
      </c>
      <c r="J8" s="18">
        <f>(I8*C8)*0.25+(I8*C8)</f>
        <v>37500</v>
      </c>
      <c r="K8" s="49">
        <v>0.25</v>
      </c>
      <c r="L8" s="18">
        <f>(K8*C8)*0.25+K8*C8</f>
        <v>18750</v>
      </c>
      <c r="M8" s="50"/>
      <c r="N8" s="10">
        <v>96443</v>
      </c>
      <c r="O8" s="203">
        <f t="shared" ref="O8" si="1">H8*$O$4</f>
        <v>11250</v>
      </c>
      <c r="P8" s="194">
        <f t="shared" ref="P8" si="2">H8*$P$4</f>
        <v>30000</v>
      </c>
      <c r="Q8" s="194">
        <f t="shared" ref="Q8" si="3">H8*$Q$4</f>
        <v>15000</v>
      </c>
      <c r="R8" s="194">
        <f t="shared" ref="R8" si="4">H8*$R$4</f>
        <v>15000</v>
      </c>
      <c r="S8" s="204">
        <f t="shared" ref="S8" si="5">H8*$S$4</f>
        <v>3750</v>
      </c>
      <c r="T8" s="203">
        <f t="shared" ref="T8" si="6">J8*$T$4</f>
        <v>5625</v>
      </c>
      <c r="U8" s="194">
        <f t="shared" ref="U8" si="7">J8*$U$4</f>
        <v>15000</v>
      </c>
      <c r="V8" s="194">
        <f t="shared" ref="V8" si="8">J8*$V$4</f>
        <v>7500</v>
      </c>
      <c r="W8" s="194">
        <f t="shared" ref="W8" si="9">J8*$W$4</f>
        <v>7500</v>
      </c>
      <c r="X8" s="204">
        <f t="shared" ref="X8" si="10">J8*$X$4</f>
        <v>1875</v>
      </c>
      <c r="Y8" s="203">
        <f>L8*$Y$4</f>
        <v>2812.5</v>
      </c>
      <c r="Z8" s="194">
        <f>L8*$Z$4</f>
        <v>7500</v>
      </c>
      <c r="AA8" s="194">
        <f>L8*$AA$4</f>
        <v>3750</v>
      </c>
      <c r="AB8" s="194">
        <f>L8*$AB$4</f>
        <v>3750</v>
      </c>
      <c r="AC8" s="204">
        <f>L8*$AC$4</f>
        <v>937.5</v>
      </c>
    </row>
    <row r="9" spans="1:29" x14ac:dyDescent="0.25">
      <c r="A9" s="22" t="s">
        <v>36</v>
      </c>
      <c r="B9" s="17"/>
      <c r="C9" s="17"/>
      <c r="D9" s="17"/>
      <c r="E9" s="17"/>
      <c r="F9" s="13">
        <f>SUM(F7:F8)</f>
        <v>135000</v>
      </c>
      <c r="G9" s="13">
        <f>SUM(G7:G8)</f>
        <v>33750</v>
      </c>
      <c r="H9" s="20">
        <f>SUM(H7:H8)</f>
        <v>168750</v>
      </c>
      <c r="I9" s="17"/>
      <c r="J9" s="20">
        <f>SUM(J7:J8)</f>
        <v>84375</v>
      </c>
      <c r="K9" s="17"/>
      <c r="L9" s="20">
        <f>SUM(L7:L8)</f>
        <v>42188</v>
      </c>
      <c r="M9" s="28">
        <f>SUM(H9,J9,L9)</f>
        <v>295313</v>
      </c>
      <c r="N9" s="222"/>
      <c r="O9" s="193"/>
      <c r="P9" s="194"/>
      <c r="Q9" s="194"/>
      <c r="R9" s="194"/>
      <c r="S9" s="204"/>
      <c r="T9" s="193"/>
      <c r="U9" s="194"/>
      <c r="V9" s="194"/>
      <c r="W9" s="194"/>
      <c r="X9" s="204"/>
      <c r="Y9" s="193"/>
      <c r="Z9" s="194"/>
      <c r="AA9" s="194"/>
      <c r="AB9" s="194"/>
      <c r="AC9" s="204"/>
    </row>
    <row r="10" spans="1:29" x14ac:dyDescent="0.25">
      <c r="A10" s="21" t="s">
        <v>9</v>
      </c>
      <c r="B10" s="54"/>
      <c r="C10" s="25"/>
      <c r="D10" s="25"/>
      <c r="E10" s="55"/>
      <c r="F10" s="55"/>
      <c r="G10" s="55"/>
      <c r="H10" s="56"/>
      <c r="I10" s="57"/>
      <c r="J10" s="58"/>
      <c r="K10" s="57"/>
      <c r="L10" s="57"/>
      <c r="M10" s="28"/>
      <c r="N10" s="223"/>
      <c r="O10" s="193"/>
      <c r="P10" s="194"/>
      <c r="Q10" s="194"/>
      <c r="R10" s="194"/>
      <c r="S10" s="204"/>
      <c r="T10" s="193"/>
      <c r="U10" s="194"/>
      <c r="V10" s="194"/>
      <c r="W10" s="194"/>
      <c r="X10" s="204"/>
      <c r="Y10" s="193"/>
      <c r="Z10" s="194"/>
      <c r="AA10" s="194"/>
      <c r="AB10" s="194"/>
      <c r="AC10" s="204"/>
    </row>
    <row r="11" spans="1:29" ht="16.149999999999999" customHeight="1" x14ac:dyDescent="0.25">
      <c r="A11" s="250" t="s">
        <v>43</v>
      </c>
      <c r="B11" s="251"/>
      <c r="C11" s="252"/>
      <c r="D11" s="61"/>
      <c r="E11" s="62"/>
      <c r="F11" s="63"/>
      <c r="G11" s="63"/>
      <c r="H11" s="64">
        <f>G37</f>
        <v>136845</v>
      </c>
      <c r="I11" s="65"/>
      <c r="J11" s="66">
        <f>H11</f>
        <v>136845</v>
      </c>
      <c r="K11" s="67"/>
      <c r="L11" s="65">
        <f>J11</f>
        <v>136845</v>
      </c>
      <c r="M11" s="29">
        <f>N37</f>
        <v>410535</v>
      </c>
      <c r="N11" s="41"/>
      <c r="O11" s="193">
        <f>H11*$O$4</f>
        <v>20526.75</v>
      </c>
      <c r="P11" s="194">
        <f>H11*$P$4</f>
        <v>54738</v>
      </c>
      <c r="Q11" s="194">
        <f>H11*$Q$4</f>
        <v>27369</v>
      </c>
      <c r="R11" s="194">
        <f>H11*$R$4</f>
        <v>27369</v>
      </c>
      <c r="S11" s="205">
        <f>H11*$S$4</f>
        <v>6842.25</v>
      </c>
      <c r="T11" s="203">
        <f>J11*$T$4</f>
        <v>20526.75</v>
      </c>
      <c r="U11" s="194">
        <f t="shared" ref="U11:U17" si="11">J11*$U$4</f>
        <v>54738</v>
      </c>
      <c r="V11" s="194">
        <f>J11*$V$4</f>
        <v>27369</v>
      </c>
      <c r="W11" s="194">
        <f t="shared" ref="W11:W17" si="12">J11*$W$4</f>
        <v>27369</v>
      </c>
      <c r="X11" s="204">
        <f t="shared" ref="X11:X27" si="13">J11*$X$4</f>
        <v>6842.25</v>
      </c>
      <c r="Y11" s="193">
        <f>L11*$Y$4</f>
        <v>20526.75</v>
      </c>
      <c r="Z11" s="194">
        <f>L11*$Z$4</f>
        <v>54738</v>
      </c>
      <c r="AA11" s="194">
        <f>L11*$AA$4</f>
        <v>27369</v>
      </c>
      <c r="AB11" s="194">
        <f>L11*$AB$4</f>
        <v>27369</v>
      </c>
      <c r="AC11" s="205">
        <f>L11*$AC$4</f>
        <v>6842.25</v>
      </c>
    </row>
    <row r="12" spans="1:29" ht="16.149999999999999" customHeight="1" x14ac:dyDescent="0.25">
      <c r="A12" s="253" t="s">
        <v>28</v>
      </c>
      <c r="B12" s="254"/>
      <c r="C12" s="68"/>
      <c r="D12" s="68"/>
      <c r="E12" s="69"/>
      <c r="F12" s="70"/>
      <c r="G12" s="70"/>
      <c r="H12" s="71"/>
      <c r="I12" s="41"/>
      <c r="J12" s="27"/>
      <c r="K12" s="72"/>
      <c r="L12" s="41"/>
      <c r="M12" s="28"/>
      <c r="N12" s="41"/>
      <c r="O12" s="193"/>
      <c r="P12" s="194">
        <f t="shared" ref="P12:P25" si="14">H12*$P$4</f>
        <v>0</v>
      </c>
      <c r="Q12" s="194">
        <f t="shared" ref="Q12:Q27" si="15">H12*$Q$4</f>
        <v>0</v>
      </c>
      <c r="R12" s="194">
        <f t="shared" ref="R12:R27" si="16">H12*$R$4</f>
        <v>0</v>
      </c>
      <c r="S12" s="205">
        <f t="shared" ref="S12:S27" si="17">H12*$S$4</f>
        <v>0</v>
      </c>
      <c r="T12" s="203">
        <f t="shared" ref="T12:T26" si="18">J12*$T$4</f>
        <v>0</v>
      </c>
      <c r="U12" s="194">
        <f t="shared" si="11"/>
        <v>0</v>
      </c>
      <c r="V12" s="194">
        <f t="shared" ref="V12:V16" si="19">J12*$V$4</f>
        <v>0</v>
      </c>
      <c r="W12" s="194">
        <f t="shared" si="12"/>
        <v>0</v>
      </c>
      <c r="X12" s="204">
        <f t="shared" si="13"/>
        <v>0</v>
      </c>
      <c r="Y12" s="193">
        <f t="shared" ref="Y12:Y27" si="20">L12*$Y$4</f>
        <v>0</v>
      </c>
      <c r="Z12" s="194">
        <f t="shared" ref="Z12:Z27" si="21">L12*$Z$4</f>
        <v>0</v>
      </c>
      <c r="AA12" s="194">
        <f t="shared" ref="AA12:AA27" si="22">L12*$AA$4</f>
        <v>0</v>
      </c>
      <c r="AB12" s="194">
        <f t="shared" ref="AB12:AB27" si="23">L12*$AB$4</f>
        <v>0</v>
      </c>
      <c r="AC12" s="205">
        <f t="shared" ref="AC12:AC27" si="24">L12*$AC$4</f>
        <v>0</v>
      </c>
    </row>
    <row r="13" spans="1:29" s="17" customFormat="1" ht="16.149999999999999" customHeight="1" x14ac:dyDescent="0.25">
      <c r="A13" s="231" t="s">
        <v>75</v>
      </c>
      <c r="B13" s="230"/>
      <c r="C13" s="230"/>
      <c r="D13" s="230"/>
      <c r="E13" s="230"/>
      <c r="F13" s="230"/>
      <c r="G13" s="230"/>
      <c r="H13" s="27">
        <f>7*150*25+2*35*5*25</f>
        <v>35000</v>
      </c>
      <c r="I13" s="41"/>
      <c r="J13" s="27">
        <f>7*150*25+2*35*5*25</f>
        <v>35000</v>
      </c>
      <c r="K13" s="41"/>
      <c r="L13" s="27">
        <f>7*150*25+2*35*5*25</f>
        <v>35000</v>
      </c>
      <c r="M13" s="102">
        <f>SUM(H13,J13,L13)</f>
        <v>105000</v>
      </c>
      <c r="N13" s="157"/>
      <c r="O13" s="193">
        <f>H13*$O$4</f>
        <v>5250</v>
      </c>
      <c r="P13" s="194">
        <f t="shared" si="14"/>
        <v>14000</v>
      </c>
      <c r="Q13" s="194">
        <f t="shared" si="15"/>
        <v>7000</v>
      </c>
      <c r="R13" s="194">
        <f t="shared" si="16"/>
        <v>7000</v>
      </c>
      <c r="S13" s="205">
        <f t="shared" si="17"/>
        <v>1750</v>
      </c>
      <c r="T13" s="203">
        <f t="shared" si="18"/>
        <v>5250</v>
      </c>
      <c r="U13" s="194">
        <f t="shared" si="11"/>
        <v>14000</v>
      </c>
      <c r="V13" s="194">
        <f t="shared" si="19"/>
        <v>7000</v>
      </c>
      <c r="W13" s="194">
        <f t="shared" si="12"/>
        <v>7000</v>
      </c>
      <c r="X13" s="204">
        <f t="shared" si="13"/>
        <v>1750</v>
      </c>
      <c r="Y13" s="193">
        <f t="shared" si="20"/>
        <v>5250</v>
      </c>
      <c r="Z13" s="194">
        <f t="shared" si="21"/>
        <v>14000</v>
      </c>
      <c r="AA13" s="194">
        <f t="shared" si="22"/>
        <v>7000</v>
      </c>
      <c r="AB13" s="194">
        <f t="shared" si="23"/>
        <v>7000</v>
      </c>
      <c r="AC13" s="205">
        <f t="shared" si="24"/>
        <v>1750</v>
      </c>
    </row>
    <row r="14" spans="1:29" ht="16.149999999999999" customHeight="1" x14ac:dyDescent="0.25">
      <c r="A14" s="231" t="s">
        <v>77</v>
      </c>
      <c r="B14" s="230"/>
      <c r="C14" s="230"/>
      <c r="D14" s="230"/>
      <c r="E14" s="230"/>
      <c r="F14" s="230"/>
      <c r="G14" s="230"/>
      <c r="H14" s="27">
        <f>2*150*25+2000*25</f>
        <v>57500</v>
      </c>
      <c r="I14" s="41"/>
      <c r="J14" s="27">
        <f>2*150*25+2000*25</f>
        <v>57500</v>
      </c>
      <c r="K14" s="41"/>
      <c r="L14" s="27">
        <f>2*150*25+2000*25</f>
        <v>57500</v>
      </c>
      <c r="M14" s="103">
        <f>SUM(H14,J14,L14)</f>
        <v>172500</v>
      </c>
      <c r="N14" s="158"/>
      <c r="O14" s="193">
        <f>H14*$O$4</f>
        <v>8625</v>
      </c>
      <c r="P14" s="194">
        <f t="shared" si="14"/>
        <v>23000</v>
      </c>
      <c r="Q14" s="194">
        <f t="shared" si="15"/>
        <v>11500</v>
      </c>
      <c r="R14" s="194">
        <f t="shared" si="16"/>
        <v>11500</v>
      </c>
      <c r="S14" s="205">
        <f t="shared" si="17"/>
        <v>2875</v>
      </c>
      <c r="T14" s="203">
        <f t="shared" si="18"/>
        <v>8625</v>
      </c>
      <c r="U14" s="194">
        <f t="shared" si="11"/>
        <v>23000</v>
      </c>
      <c r="V14" s="194">
        <f t="shared" si="19"/>
        <v>11500</v>
      </c>
      <c r="W14" s="194">
        <f t="shared" si="12"/>
        <v>11500</v>
      </c>
      <c r="X14" s="204">
        <f t="shared" si="13"/>
        <v>2875</v>
      </c>
      <c r="Y14" s="193">
        <f t="shared" si="20"/>
        <v>8625</v>
      </c>
      <c r="Z14" s="194">
        <f t="shared" si="21"/>
        <v>23000</v>
      </c>
      <c r="AA14" s="194">
        <f t="shared" si="22"/>
        <v>11500</v>
      </c>
      <c r="AB14" s="194">
        <f t="shared" si="23"/>
        <v>11500</v>
      </c>
      <c r="AC14" s="205">
        <f t="shared" si="24"/>
        <v>2875</v>
      </c>
    </row>
    <row r="15" spans="1:29" s="60" customFormat="1" ht="16.149999999999999" customHeight="1" x14ac:dyDescent="0.25">
      <c r="A15" s="30"/>
      <c r="B15" s="31"/>
      <c r="C15" s="31"/>
      <c r="D15" s="31"/>
      <c r="E15" s="31"/>
      <c r="F15" s="31"/>
      <c r="G15" s="31"/>
      <c r="H15" s="66"/>
      <c r="I15" s="65"/>
      <c r="J15" s="66"/>
      <c r="K15" s="65"/>
      <c r="L15" s="65"/>
      <c r="M15" s="32">
        <f>SUM(M13:M14)</f>
        <v>277500</v>
      </c>
      <c r="N15" s="130"/>
      <c r="O15" s="193"/>
      <c r="P15" s="194">
        <f t="shared" si="14"/>
        <v>0</v>
      </c>
      <c r="Q15" s="194">
        <f t="shared" si="15"/>
        <v>0</v>
      </c>
      <c r="R15" s="194">
        <f t="shared" si="16"/>
        <v>0</v>
      </c>
      <c r="S15" s="205">
        <f t="shared" si="17"/>
        <v>0</v>
      </c>
      <c r="T15" s="203">
        <f t="shared" si="18"/>
        <v>0</v>
      </c>
      <c r="U15" s="194">
        <f t="shared" si="11"/>
        <v>0</v>
      </c>
      <c r="V15" s="194">
        <f t="shared" si="19"/>
        <v>0</v>
      </c>
      <c r="W15" s="194">
        <f t="shared" si="12"/>
        <v>0</v>
      </c>
      <c r="X15" s="204">
        <f t="shared" si="13"/>
        <v>0</v>
      </c>
      <c r="Y15" s="193">
        <f t="shared" si="20"/>
        <v>0</v>
      </c>
      <c r="Z15" s="194">
        <f t="shared" si="21"/>
        <v>0</v>
      </c>
      <c r="AA15" s="194">
        <f t="shared" si="22"/>
        <v>0</v>
      </c>
      <c r="AB15" s="194">
        <f t="shared" si="23"/>
        <v>0</v>
      </c>
      <c r="AC15" s="205">
        <f t="shared" si="24"/>
        <v>0</v>
      </c>
    </row>
    <row r="16" spans="1:29" ht="13.9" customHeight="1" x14ac:dyDescent="0.25">
      <c r="A16" s="244" t="s">
        <v>29</v>
      </c>
      <c r="B16" s="245"/>
      <c r="C16" s="245"/>
      <c r="D16" s="17"/>
      <c r="E16" s="41"/>
      <c r="F16" s="41"/>
      <c r="G16" s="41"/>
      <c r="H16" s="42"/>
      <c r="I16" s="59"/>
      <c r="J16" s="73"/>
      <c r="K16" s="59"/>
      <c r="L16" s="58"/>
      <c r="M16" s="53"/>
      <c r="N16" s="17"/>
      <c r="O16" s="193"/>
      <c r="P16" s="194">
        <f t="shared" si="14"/>
        <v>0</v>
      </c>
      <c r="Q16" s="194">
        <f t="shared" si="15"/>
        <v>0</v>
      </c>
      <c r="R16" s="194">
        <f t="shared" si="16"/>
        <v>0</v>
      </c>
      <c r="S16" s="205">
        <f t="shared" si="17"/>
        <v>0</v>
      </c>
      <c r="T16" s="203">
        <f t="shared" si="18"/>
        <v>0</v>
      </c>
      <c r="U16" s="194">
        <f t="shared" si="11"/>
        <v>0</v>
      </c>
      <c r="V16" s="194">
        <f t="shared" si="19"/>
        <v>0</v>
      </c>
      <c r="W16" s="194">
        <f t="shared" si="12"/>
        <v>0</v>
      </c>
      <c r="X16" s="204">
        <f t="shared" si="13"/>
        <v>0</v>
      </c>
      <c r="Y16" s="193">
        <f t="shared" si="20"/>
        <v>0</v>
      </c>
      <c r="Z16" s="194">
        <f t="shared" si="21"/>
        <v>0</v>
      </c>
      <c r="AA16" s="194">
        <f t="shared" si="22"/>
        <v>0</v>
      </c>
      <c r="AB16" s="194">
        <f t="shared" si="23"/>
        <v>0</v>
      </c>
      <c r="AC16" s="205">
        <f t="shared" si="24"/>
        <v>0</v>
      </c>
    </row>
    <row r="17" spans="1:80" x14ac:dyDescent="0.25">
      <c r="A17" s="264" t="s">
        <v>39</v>
      </c>
      <c r="B17" s="265"/>
      <c r="C17" s="17"/>
      <c r="D17" s="17"/>
      <c r="E17" s="41"/>
      <c r="F17" s="41"/>
      <c r="G17" s="41"/>
      <c r="H17" s="74">
        <v>182664</v>
      </c>
      <c r="I17" s="75"/>
      <c r="J17" s="74">
        <v>50</v>
      </c>
      <c r="K17" s="76"/>
      <c r="L17" s="76">
        <v>50</v>
      </c>
      <c r="M17" s="28">
        <f>SUM(H17, J17, L17)</f>
        <v>182764</v>
      </c>
      <c r="N17" s="41"/>
      <c r="O17" s="193">
        <f>H17*$O$4</f>
        <v>27399.599999999999</v>
      </c>
      <c r="P17" s="194">
        <f t="shared" si="14"/>
        <v>73065.600000000006</v>
      </c>
      <c r="Q17" s="194">
        <f t="shared" si="15"/>
        <v>36532.800000000003</v>
      </c>
      <c r="R17" s="194">
        <f t="shared" si="16"/>
        <v>36532.800000000003</v>
      </c>
      <c r="S17" s="205">
        <f t="shared" si="17"/>
        <v>9133.2000000000007</v>
      </c>
      <c r="T17" s="203">
        <f t="shared" si="18"/>
        <v>7.5</v>
      </c>
      <c r="U17" s="194">
        <f t="shared" si="11"/>
        <v>20</v>
      </c>
      <c r="V17" s="194">
        <f>J17*$V$4</f>
        <v>10</v>
      </c>
      <c r="W17" s="194">
        <f t="shared" si="12"/>
        <v>10</v>
      </c>
      <c r="X17" s="204">
        <f t="shared" si="13"/>
        <v>2.5</v>
      </c>
      <c r="Y17" s="193">
        <f t="shared" si="20"/>
        <v>7.5</v>
      </c>
      <c r="Z17" s="194">
        <f t="shared" si="21"/>
        <v>20</v>
      </c>
      <c r="AA17" s="194">
        <f t="shared" si="22"/>
        <v>10</v>
      </c>
      <c r="AB17" s="194">
        <f t="shared" si="23"/>
        <v>10</v>
      </c>
      <c r="AC17" s="205">
        <f t="shared" si="24"/>
        <v>2.5</v>
      </c>
    </row>
    <row r="18" spans="1:80" x14ac:dyDescent="0.25">
      <c r="A18" s="264" t="s">
        <v>30</v>
      </c>
      <c r="B18" s="265"/>
      <c r="C18" s="17"/>
      <c r="D18" s="17"/>
      <c r="E18" s="41"/>
      <c r="F18" s="41"/>
      <c r="G18" s="41"/>
      <c r="H18" s="74">
        <f>SUM(E19:E22)</f>
        <v>563000</v>
      </c>
      <c r="I18" s="75"/>
      <c r="J18" s="74">
        <f>SUM(I19,I20,I21,I22)</f>
        <v>513000</v>
      </c>
      <c r="K18" s="76"/>
      <c r="L18" s="74">
        <f>SUM(K19,K20,K21,K22)</f>
        <v>513000</v>
      </c>
      <c r="M18" s="28">
        <f>SUM(H18, J18, L18)</f>
        <v>1589000</v>
      </c>
      <c r="N18" s="41"/>
      <c r="O18" s="193"/>
      <c r="P18" s="194"/>
      <c r="Q18" s="194"/>
      <c r="R18" s="194"/>
      <c r="S18" s="205"/>
      <c r="T18" s="203"/>
      <c r="U18" s="194"/>
      <c r="V18" s="194"/>
      <c r="W18" s="194"/>
      <c r="X18" s="204"/>
      <c r="Y18" s="193"/>
      <c r="Z18" s="194"/>
      <c r="AA18" s="194"/>
      <c r="AB18" s="194"/>
      <c r="AC18" s="205"/>
    </row>
    <row r="19" spans="1:80" ht="15" customHeight="1" x14ac:dyDescent="0.25">
      <c r="A19" s="229" t="s">
        <v>44</v>
      </c>
      <c r="B19" s="230"/>
      <c r="E19" s="77">
        <v>50000</v>
      </c>
      <c r="F19" s="77"/>
      <c r="G19" s="77"/>
      <c r="H19" s="78"/>
      <c r="I19" s="77">
        <f>E19</f>
        <v>50000</v>
      </c>
      <c r="J19" s="78"/>
      <c r="K19" s="77">
        <f>I19</f>
        <v>50000</v>
      </c>
      <c r="L19" s="79"/>
      <c r="M19" s="28"/>
      <c r="N19" s="41"/>
      <c r="O19" s="193">
        <f>E19*$O$4</f>
        <v>7500</v>
      </c>
      <c r="P19" s="194">
        <f>E19*$P$4</f>
        <v>20000</v>
      </c>
      <c r="Q19" s="194">
        <f>E19*$Q$4</f>
        <v>10000</v>
      </c>
      <c r="R19" s="194">
        <f>E19*$R$4</f>
        <v>10000</v>
      </c>
      <c r="S19" s="205">
        <f>E19*$S$4</f>
        <v>2500</v>
      </c>
      <c r="T19" s="203">
        <f>I19*$T$4</f>
        <v>7500</v>
      </c>
      <c r="U19" s="203">
        <f>I19*$U$4</f>
        <v>20000</v>
      </c>
      <c r="V19" s="194">
        <f>I19*$V$4</f>
        <v>10000</v>
      </c>
      <c r="W19" s="194">
        <f>I19*$W$4</f>
        <v>10000</v>
      </c>
      <c r="X19" s="204">
        <f>I19*$X$4</f>
        <v>2500</v>
      </c>
      <c r="Y19" s="193">
        <f>K19*$Y$4</f>
        <v>7500</v>
      </c>
      <c r="Z19" s="194">
        <f>K19*$Z$4</f>
        <v>20000</v>
      </c>
      <c r="AA19" s="194">
        <f>K19*$AA$4</f>
        <v>10000</v>
      </c>
      <c r="AB19" s="194">
        <f>K19*$AB$4</f>
        <v>10000</v>
      </c>
      <c r="AC19" s="205">
        <f>K19*$AC$4</f>
        <v>2500</v>
      </c>
    </row>
    <row r="20" spans="1:80" ht="15" customHeight="1" x14ac:dyDescent="0.25">
      <c r="A20" s="229" t="s">
        <v>31</v>
      </c>
      <c r="B20" s="230"/>
      <c r="E20" s="77">
        <v>250000</v>
      </c>
      <c r="F20" s="77"/>
      <c r="G20" s="77"/>
      <c r="H20" s="78"/>
      <c r="I20" s="77">
        <f>E20</f>
        <v>250000</v>
      </c>
      <c r="J20" s="78"/>
      <c r="K20" s="77">
        <f>I20</f>
        <v>250000</v>
      </c>
      <c r="L20" s="79"/>
      <c r="M20" s="28"/>
      <c r="N20" s="41"/>
      <c r="O20" s="193">
        <f t="shared" ref="O20:O22" si="25">E20*$O$4</f>
        <v>37500</v>
      </c>
      <c r="P20" s="194">
        <f t="shared" ref="P20:P22" si="26">E20*$P$4</f>
        <v>100000</v>
      </c>
      <c r="Q20" s="194">
        <f t="shared" ref="Q20:Q22" si="27">E20*$Q$4</f>
        <v>50000</v>
      </c>
      <c r="R20" s="194">
        <f t="shared" ref="R20:R22" si="28">E20*$R$4</f>
        <v>50000</v>
      </c>
      <c r="S20" s="205">
        <f t="shared" ref="S20:S22" si="29">E20*$S$4</f>
        <v>12500</v>
      </c>
      <c r="T20" s="203">
        <f t="shared" ref="T20:T23" si="30">I20*$T$4</f>
        <v>37500</v>
      </c>
      <c r="U20" s="203">
        <f t="shared" ref="U20:U22" si="31">I20*$U$4</f>
        <v>100000</v>
      </c>
      <c r="V20" s="194">
        <f t="shared" ref="V20:V22" si="32">I20*$V$4</f>
        <v>50000</v>
      </c>
      <c r="W20" s="194">
        <f t="shared" ref="W20:W23" si="33">I20*$W$4</f>
        <v>50000</v>
      </c>
      <c r="X20" s="204">
        <f t="shared" ref="X20:X23" si="34">I20*$X$4</f>
        <v>12500</v>
      </c>
      <c r="Y20" s="193">
        <f t="shared" ref="Y20:Y23" si="35">K20*$Y$4</f>
        <v>37500</v>
      </c>
      <c r="Z20" s="194">
        <f t="shared" ref="Z20:Z22" si="36">K20*$Z$4</f>
        <v>100000</v>
      </c>
      <c r="AA20" s="194">
        <f t="shared" ref="AA20:AA22" si="37">K20*$AA$4</f>
        <v>50000</v>
      </c>
      <c r="AB20" s="194">
        <f t="shared" ref="AB20:AB22" si="38">K20*$AB$4</f>
        <v>50000</v>
      </c>
      <c r="AC20" s="205">
        <f t="shared" ref="AC20:AC23" si="39">K20*$AC$4</f>
        <v>12500</v>
      </c>
    </row>
    <row r="21" spans="1:80" ht="15" customHeight="1" x14ac:dyDescent="0.25">
      <c r="A21" s="231" t="s">
        <v>51</v>
      </c>
      <c r="B21" s="230"/>
      <c r="E21" s="77">
        <v>200500</v>
      </c>
      <c r="F21" s="77"/>
      <c r="G21" s="77"/>
      <c r="H21" s="78"/>
      <c r="I21" s="77">
        <v>150500</v>
      </c>
      <c r="J21" s="78"/>
      <c r="K21" s="77">
        <f>I21</f>
        <v>150500</v>
      </c>
      <c r="L21" s="79"/>
      <c r="M21" s="28"/>
      <c r="N21" s="41"/>
      <c r="O21" s="193">
        <f t="shared" si="25"/>
        <v>30075</v>
      </c>
      <c r="P21" s="194">
        <f t="shared" si="26"/>
        <v>80200</v>
      </c>
      <c r="Q21" s="194">
        <f t="shared" si="27"/>
        <v>40100</v>
      </c>
      <c r="R21" s="194">
        <f t="shared" si="28"/>
        <v>40100</v>
      </c>
      <c r="S21" s="205">
        <f t="shared" si="29"/>
        <v>10025</v>
      </c>
      <c r="T21" s="203">
        <f t="shared" si="30"/>
        <v>22575</v>
      </c>
      <c r="U21" s="203">
        <f t="shared" si="31"/>
        <v>60200</v>
      </c>
      <c r="V21" s="194">
        <f t="shared" si="32"/>
        <v>30100</v>
      </c>
      <c r="W21" s="194">
        <f t="shared" si="33"/>
        <v>30100</v>
      </c>
      <c r="X21" s="204">
        <f t="shared" si="34"/>
        <v>7525</v>
      </c>
      <c r="Y21" s="193">
        <f t="shared" si="35"/>
        <v>22575</v>
      </c>
      <c r="Z21" s="194">
        <f t="shared" si="36"/>
        <v>60200</v>
      </c>
      <c r="AA21" s="194">
        <f t="shared" si="37"/>
        <v>30100</v>
      </c>
      <c r="AB21" s="194">
        <f t="shared" si="38"/>
        <v>30100</v>
      </c>
      <c r="AC21" s="205">
        <f t="shared" si="39"/>
        <v>7525</v>
      </c>
    </row>
    <row r="22" spans="1:80" ht="15" customHeight="1" x14ac:dyDescent="0.25">
      <c r="A22" s="231" t="s">
        <v>50</v>
      </c>
      <c r="B22" s="232"/>
      <c r="E22" s="77">
        <f>25*2500</f>
        <v>62500</v>
      </c>
      <c r="F22" s="77"/>
      <c r="G22" s="77"/>
      <c r="H22" s="78"/>
      <c r="I22" s="77">
        <f>25*2500</f>
        <v>62500</v>
      </c>
      <c r="J22" s="78"/>
      <c r="K22" s="77">
        <f>25*2500</f>
        <v>62500</v>
      </c>
      <c r="L22" s="79"/>
      <c r="M22" s="27"/>
      <c r="N22" s="41"/>
      <c r="O22" s="193">
        <f t="shared" si="25"/>
        <v>9375</v>
      </c>
      <c r="P22" s="194">
        <f t="shared" si="26"/>
        <v>25000</v>
      </c>
      <c r="Q22" s="194">
        <f t="shared" si="27"/>
        <v>12500</v>
      </c>
      <c r="R22" s="194">
        <f t="shared" si="28"/>
        <v>12500</v>
      </c>
      <c r="S22" s="205">
        <f t="shared" si="29"/>
        <v>3125</v>
      </c>
      <c r="T22" s="203">
        <f t="shared" si="30"/>
        <v>9375</v>
      </c>
      <c r="U22" s="203">
        <f t="shared" si="31"/>
        <v>25000</v>
      </c>
      <c r="V22" s="194">
        <f t="shared" si="32"/>
        <v>12500</v>
      </c>
      <c r="W22" s="194">
        <f t="shared" si="33"/>
        <v>12500</v>
      </c>
      <c r="X22" s="204">
        <f t="shared" si="34"/>
        <v>3125</v>
      </c>
      <c r="Y22" s="193">
        <f t="shared" si="35"/>
        <v>9375</v>
      </c>
      <c r="Z22" s="194">
        <f t="shared" si="36"/>
        <v>25000</v>
      </c>
      <c r="AA22" s="194">
        <f t="shared" si="37"/>
        <v>12500</v>
      </c>
      <c r="AB22" s="194">
        <f t="shared" si="38"/>
        <v>12500</v>
      </c>
      <c r="AC22" s="205">
        <f t="shared" si="39"/>
        <v>3125</v>
      </c>
    </row>
    <row r="23" spans="1:80" ht="15" customHeight="1" x14ac:dyDescent="0.25">
      <c r="A23" s="266" t="s">
        <v>69</v>
      </c>
      <c r="B23" s="267"/>
      <c r="C23" s="80"/>
      <c r="D23" s="80"/>
      <c r="E23" s="77"/>
      <c r="F23" s="77"/>
      <c r="G23" s="77"/>
      <c r="H23" s="27">
        <v>0</v>
      </c>
      <c r="I23" s="77"/>
      <c r="J23" s="27">
        <v>0</v>
      </c>
      <c r="K23" s="77"/>
      <c r="L23" s="27">
        <v>0</v>
      </c>
      <c r="M23" s="27">
        <f>L23+J23+H23</f>
        <v>0</v>
      </c>
      <c r="N23" s="41"/>
      <c r="O23" s="193">
        <f>H23*$O$4</f>
        <v>0</v>
      </c>
      <c r="P23" s="194">
        <f>H23*$P$4</f>
        <v>0</v>
      </c>
      <c r="Q23" s="194">
        <f t="shared" si="15"/>
        <v>0</v>
      </c>
      <c r="R23" s="194">
        <f t="shared" si="16"/>
        <v>0</v>
      </c>
      <c r="S23" s="205">
        <f t="shared" si="17"/>
        <v>0</v>
      </c>
      <c r="T23" s="203">
        <f t="shared" si="30"/>
        <v>0</v>
      </c>
      <c r="U23" s="194">
        <f t="shared" ref="U23:U27" si="40">J23*$U$4</f>
        <v>0</v>
      </c>
      <c r="V23" s="194">
        <f t="shared" ref="V23:V27" si="41">J23*$V$4</f>
        <v>0</v>
      </c>
      <c r="W23" s="194">
        <f t="shared" si="33"/>
        <v>0</v>
      </c>
      <c r="X23" s="204">
        <f t="shared" si="34"/>
        <v>0</v>
      </c>
      <c r="Y23" s="193">
        <f t="shared" si="35"/>
        <v>0</v>
      </c>
      <c r="Z23" s="194">
        <f t="shared" si="21"/>
        <v>0</v>
      </c>
      <c r="AA23" s="194">
        <f t="shared" si="22"/>
        <v>0</v>
      </c>
      <c r="AB23" s="194">
        <f>K23*$AB$4</f>
        <v>0</v>
      </c>
      <c r="AC23" s="205">
        <f t="shared" si="39"/>
        <v>0</v>
      </c>
    </row>
    <row r="24" spans="1:80" x14ac:dyDescent="0.25">
      <c r="A24" s="23" t="s">
        <v>32</v>
      </c>
      <c r="H24" s="27">
        <v>0</v>
      </c>
      <c r="I24" s="79"/>
      <c r="J24" s="27">
        <v>0</v>
      </c>
      <c r="K24" s="79"/>
      <c r="L24" s="27">
        <v>0</v>
      </c>
      <c r="M24" s="27">
        <v>0</v>
      </c>
      <c r="N24" s="41"/>
      <c r="O24" s="193">
        <f>H24*$O$4</f>
        <v>0</v>
      </c>
      <c r="P24" s="194">
        <f>H24*$P$4</f>
        <v>0</v>
      </c>
      <c r="Q24" s="194">
        <f t="shared" si="15"/>
        <v>0</v>
      </c>
      <c r="R24" s="194">
        <f t="shared" si="16"/>
        <v>0</v>
      </c>
      <c r="S24" s="205">
        <f t="shared" si="17"/>
        <v>0</v>
      </c>
      <c r="T24" s="203">
        <f t="shared" si="18"/>
        <v>0</v>
      </c>
      <c r="U24" s="194">
        <f t="shared" si="40"/>
        <v>0</v>
      </c>
      <c r="V24" s="194">
        <f t="shared" si="41"/>
        <v>0</v>
      </c>
      <c r="W24" s="194">
        <f t="shared" ref="W24:W27" si="42">J24*$W$4</f>
        <v>0</v>
      </c>
      <c r="X24" s="204">
        <f t="shared" si="13"/>
        <v>0</v>
      </c>
      <c r="Y24" s="193">
        <f t="shared" si="20"/>
        <v>0</v>
      </c>
      <c r="Z24" s="194">
        <f t="shared" si="21"/>
        <v>0</v>
      </c>
      <c r="AA24" s="194">
        <f t="shared" si="22"/>
        <v>0</v>
      </c>
      <c r="AB24" s="194">
        <f t="shared" si="23"/>
        <v>0</v>
      </c>
      <c r="AC24" s="205">
        <f t="shared" si="24"/>
        <v>0</v>
      </c>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row>
    <row r="25" spans="1:80" x14ac:dyDescent="0.25">
      <c r="A25" s="264" t="s">
        <v>33</v>
      </c>
      <c r="B25" s="265"/>
      <c r="E25" s="79"/>
      <c r="F25" s="79"/>
      <c r="G25" s="79"/>
      <c r="H25" s="82">
        <v>0</v>
      </c>
      <c r="J25" s="83">
        <f>H25</f>
        <v>0</v>
      </c>
      <c r="L25" s="84">
        <f>J25</f>
        <v>0</v>
      </c>
      <c r="M25" s="27">
        <v>0</v>
      </c>
      <c r="N25" s="41"/>
      <c r="O25" s="193">
        <f>H25*$O$4</f>
        <v>0</v>
      </c>
      <c r="P25" s="194">
        <f t="shared" si="14"/>
        <v>0</v>
      </c>
      <c r="Q25" s="194">
        <f t="shared" si="15"/>
        <v>0</v>
      </c>
      <c r="R25" s="194">
        <f t="shared" si="16"/>
        <v>0</v>
      </c>
      <c r="S25" s="205">
        <f t="shared" si="17"/>
        <v>0</v>
      </c>
      <c r="T25" s="203">
        <f t="shared" si="18"/>
        <v>0</v>
      </c>
      <c r="U25" s="194">
        <f t="shared" si="40"/>
        <v>0</v>
      </c>
      <c r="V25" s="194">
        <f t="shared" si="41"/>
        <v>0</v>
      </c>
      <c r="W25" s="194">
        <f t="shared" si="42"/>
        <v>0</v>
      </c>
      <c r="X25" s="204">
        <f t="shared" si="13"/>
        <v>0</v>
      </c>
      <c r="Y25" s="193">
        <f t="shared" si="20"/>
        <v>0</v>
      </c>
      <c r="Z25" s="194">
        <f t="shared" si="21"/>
        <v>0</v>
      </c>
      <c r="AA25" s="194">
        <f t="shared" si="22"/>
        <v>0</v>
      </c>
      <c r="AB25" s="194">
        <f t="shared" si="23"/>
        <v>0</v>
      </c>
      <c r="AC25" s="205">
        <f t="shared" si="24"/>
        <v>0</v>
      </c>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row>
    <row r="26" spans="1:80" x14ac:dyDescent="0.25">
      <c r="A26" s="1" t="s">
        <v>76</v>
      </c>
      <c r="H26" s="27">
        <v>75000</v>
      </c>
      <c r="I26" s="79"/>
      <c r="J26" s="27">
        <v>75000</v>
      </c>
      <c r="K26" s="79"/>
      <c r="L26" s="27">
        <v>75000</v>
      </c>
      <c r="M26" s="28">
        <f>SUM(H26,J26,L26)</f>
        <v>225000</v>
      </c>
      <c r="N26" s="41"/>
      <c r="O26" s="193">
        <f>H26*$O$4</f>
        <v>11250</v>
      </c>
      <c r="P26" s="194">
        <f>H26*$P$4</f>
        <v>30000</v>
      </c>
      <c r="Q26" s="194">
        <f t="shared" si="15"/>
        <v>15000</v>
      </c>
      <c r="R26" s="194">
        <f t="shared" si="16"/>
        <v>15000</v>
      </c>
      <c r="S26" s="205">
        <f t="shared" si="17"/>
        <v>3750</v>
      </c>
      <c r="T26" s="203">
        <f t="shared" si="18"/>
        <v>11250</v>
      </c>
      <c r="U26" s="194">
        <f t="shared" si="40"/>
        <v>30000</v>
      </c>
      <c r="V26" s="194">
        <f t="shared" si="41"/>
        <v>15000</v>
      </c>
      <c r="W26" s="194">
        <f t="shared" si="42"/>
        <v>15000</v>
      </c>
      <c r="X26" s="204">
        <f t="shared" si="13"/>
        <v>3750</v>
      </c>
      <c r="Y26" s="193">
        <f t="shared" si="20"/>
        <v>11250</v>
      </c>
      <c r="Z26" s="194">
        <f t="shared" si="21"/>
        <v>30000</v>
      </c>
      <c r="AA26" s="194">
        <f t="shared" si="22"/>
        <v>15000</v>
      </c>
      <c r="AB26" s="194">
        <f t="shared" si="23"/>
        <v>15000</v>
      </c>
      <c r="AC26" s="205">
        <f t="shared" si="24"/>
        <v>3750</v>
      </c>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row>
    <row r="27" spans="1:80" ht="13.9" customHeight="1" x14ac:dyDescent="0.25">
      <c r="A27" s="23" t="s">
        <v>34</v>
      </c>
      <c r="H27" s="19">
        <v>2000</v>
      </c>
      <c r="I27" s="79"/>
      <c r="J27" s="19">
        <v>2000</v>
      </c>
      <c r="K27" s="79"/>
      <c r="L27" s="19">
        <v>2000</v>
      </c>
      <c r="M27" s="26">
        <f>SUM(H27, J27, L27)</f>
        <v>6000</v>
      </c>
      <c r="N27" s="159"/>
      <c r="O27" s="206">
        <f>H27*$O$4</f>
        <v>300</v>
      </c>
      <c r="P27" s="207">
        <f>H27*$P$4</f>
        <v>800</v>
      </c>
      <c r="Q27" s="207">
        <f t="shared" si="15"/>
        <v>400</v>
      </c>
      <c r="R27" s="207">
        <f t="shared" si="16"/>
        <v>400</v>
      </c>
      <c r="S27" s="208">
        <f t="shared" si="17"/>
        <v>100</v>
      </c>
      <c r="T27" s="203">
        <f>J27*$T$4</f>
        <v>300</v>
      </c>
      <c r="U27" s="194">
        <f t="shared" si="40"/>
        <v>800</v>
      </c>
      <c r="V27" s="194">
        <f t="shared" si="41"/>
        <v>400</v>
      </c>
      <c r="W27" s="194">
        <f t="shared" si="42"/>
        <v>400</v>
      </c>
      <c r="X27" s="204">
        <f t="shared" si="13"/>
        <v>100</v>
      </c>
      <c r="Y27" s="193">
        <f t="shared" si="20"/>
        <v>300</v>
      </c>
      <c r="Z27" s="194">
        <f t="shared" si="21"/>
        <v>800</v>
      </c>
      <c r="AA27" s="194">
        <f t="shared" si="22"/>
        <v>400</v>
      </c>
      <c r="AB27" s="194">
        <f t="shared" si="23"/>
        <v>400</v>
      </c>
      <c r="AC27" s="205">
        <f t="shared" si="24"/>
        <v>100</v>
      </c>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row>
    <row r="28" spans="1:80" ht="16.149999999999999" customHeight="1" x14ac:dyDescent="0.25">
      <c r="A28" s="257" t="s">
        <v>5</v>
      </c>
      <c r="B28" s="258"/>
      <c r="C28" s="85"/>
      <c r="D28" s="85"/>
      <c r="E28" s="86"/>
      <c r="F28" s="86"/>
      <c r="G28" s="86"/>
      <c r="H28" s="87"/>
      <c r="I28" s="88"/>
      <c r="J28" s="89"/>
      <c r="K28" s="88"/>
      <c r="L28" s="88"/>
      <c r="M28" s="90">
        <f>SUM(M9, M11, M15,M17,M18,M23,M24,M25,M26,M27)</f>
        <v>2986112</v>
      </c>
      <c r="N28" s="160"/>
      <c r="O28" s="209">
        <f t="shared" ref="O28:AC28" si="43">SUM(O7:O27)</f>
        <v>183113.85</v>
      </c>
      <c r="P28" s="210">
        <f t="shared" si="43"/>
        <v>488303.6</v>
      </c>
      <c r="Q28" s="210">
        <f t="shared" si="43"/>
        <v>244151.8</v>
      </c>
      <c r="R28" s="210">
        <f t="shared" si="43"/>
        <v>244151.8</v>
      </c>
      <c r="S28" s="211">
        <f t="shared" si="43"/>
        <v>61037.95</v>
      </c>
      <c r="T28" s="209">
        <f t="shared" si="43"/>
        <v>135565.5</v>
      </c>
      <c r="U28" s="210">
        <f t="shared" si="43"/>
        <v>361508</v>
      </c>
      <c r="V28" s="210">
        <f t="shared" si="43"/>
        <v>180754</v>
      </c>
      <c r="W28" s="210">
        <f t="shared" si="43"/>
        <v>180754</v>
      </c>
      <c r="X28" s="211">
        <f t="shared" si="43"/>
        <v>45188.5</v>
      </c>
      <c r="Y28" s="209">
        <f t="shared" si="43"/>
        <v>129237.45</v>
      </c>
      <c r="Z28" s="210">
        <f t="shared" si="43"/>
        <v>344633.2</v>
      </c>
      <c r="AA28" s="210">
        <f t="shared" si="43"/>
        <v>172316.6</v>
      </c>
      <c r="AB28" s="210">
        <f t="shared" si="43"/>
        <v>172316.6</v>
      </c>
      <c r="AC28" s="211">
        <f t="shared" si="43"/>
        <v>43079.15</v>
      </c>
    </row>
    <row r="29" spans="1:80" x14ac:dyDescent="0.25">
      <c r="A29" s="259" t="s">
        <v>35</v>
      </c>
      <c r="B29" s="260"/>
      <c r="H29" s="78"/>
      <c r="I29" s="91"/>
      <c r="J29" s="92"/>
      <c r="K29" s="91"/>
      <c r="L29" s="91"/>
      <c r="M29" s="93">
        <f>M28*0.08</f>
        <v>238888.95999999999</v>
      </c>
      <c r="N29" s="161"/>
      <c r="O29" s="212">
        <f t="shared" ref="O29:AC29" si="44">O28*0.08</f>
        <v>14649.11</v>
      </c>
      <c r="P29" s="213">
        <f t="shared" si="44"/>
        <v>39064.29</v>
      </c>
      <c r="Q29" s="213">
        <f t="shared" si="44"/>
        <v>19532.14</v>
      </c>
      <c r="R29" s="213">
        <f t="shared" si="44"/>
        <v>19532.14</v>
      </c>
      <c r="S29" s="214">
        <f t="shared" si="44"/>
        <v>4883.04</v>
      </c>
      <c r="T29" s="212">
        <f t="shared" si="44"/>
        <v>10845.24</v>
      </c>
      <c r="U29" s="213">
        <f t="shared" si="44"/>
        <v>28920.639999999999</v>
      </c>
      <c r="V29" s="213">
        <f t="shared" si="44"/>
        <v>14460.32</v>
      </c>
      <c r="W29" s="213">
        <f t="shared" si="44"/>
        <v>14460.32</v>
      </c>
      <c r="X29" s="214">
        <f t="shared" si="44"/>
        <v>3615.08</v>
      </c>
      <c r="Y29" s="212">
        <f t="shared" si="44"/>
        <v>10339</v>
      </c>
      <c r="Z29" s="213">
        <f t="shared" si="44"/>
        <v>27570.66</v>
      </c>
      <c r="AA29" s="213">
        <f t="shared" si="44"/>
        <v>13785.33</v>
      </c>
      <c r="AB29" s="213">
        <f t="shared" si="44"/>
        <v>13785.33</v>
      </c>
      <c r="AC29" s="214">
        <f t="shared" si="44"/>
        <v>3446.33</v>
      </c>
    </row>
    <row r="30" spans="1:80" s="3" customFormat="1" ht="21" customHeight="1" x14ac:dyDescent="0.25">
      <c r="A30" s="261" t="s">
        <v>70</v>
      </c>
      <c r="B30" s="262"/>
      <c r="C30" s="94"/>
      <c r="D30" s="94"/>
      <c r="E30" s="94"/>
      <c r="F30" s="94"/>
      <c r="G30" s="94"/>
      <c r="H30" s="95"/>
      <c r="I30" s="96"/>
      <c r="J30" s="97"/>
      <c r="K30" s="96"/>
      <c r="L30" s="96"/>
      <c r="M30" s="98">
        <f>SUM(M28,M29)</f>
        <v>3225000.96</v>
      </c>
      <c r="N30" s="162"/>
      <c r="O30" s="215">
        <f t="shared" ref="O30:AC30" si="45">SUM(O28:O29)</f>
        <v>197762.96</v>
      </c>
      <c r="P30" s="216">
        <f t="shared" si="45"/>
        <v>527367.89</v>
      </c>
      <c r="Q30" s="216">
        <f t="shared" si="45"/>
        <v>263683.94</v>
      </c>
      <c r="R30" s="216">
        <f t="shared" si="45"/>
        <v>263683.94</v>
      </c>
      <c r="S30" s="217">
        <f t="shared" si="45"/>
        <v>65920.990000000005</v>
      </c>
      <c r="T30" s="215">
        <f t="shared" si="45"/>
        <v>146410.74</v>
      </c>
      <c r="U30" s="216">
        <f t="shared" si="45"/>
        <v>390428.64</v>
      </c>
      <c r="V30" s="216">
        <f t="shared" si="45"/>
        <v>195214.32</v>
      </c>
      <c r="W30" s="216">
        <f t="shared" si="45"/>
        <v>195214.32</v>
      </c>
      <c r="X30" s="217">
        <f t="shared" si="45"/>
        <v>48803.58</v>
      </c>
      <c r="Y30" s="215">
        <f t="shared" si="45"/>
        <v>139576.45000000001</v>
      </c>
      <c r="Z30" s="216">
        <f t="shared" si="45"/>
        <v>372203.86</v>
      </c>
      <c r="AA30" s="216">
        <f t="shared" si="45"/>
        <v>186101.93</v>
      </c>
      <c r="AB30" s="216">
        <f t="shared" si="45"/>
        <v>186101.93</v>
      </c>
      <c r="AC30" s="217">
        <f t="shared" si="45"/>
        <v>46525.48</v>
      </c>
    </row>
    <row r="31" spans="1:80" x14ac:dyDescent="0.25">
      <c r="K31" s="263" t="s">
        <v>71</v>
      </c>
      <c r="L31" s="263"/>
      <c r="M31" s="220">
        <v>3225000</v>
      </c>
      <c r="O31" s="192">
        <f>O30/SUM($O$30:$S$30)</f>
        <v>0.15</v>
      </c>
      <c r="P31" s="192">
        <f t="shared" ref="P31:S31" si="46">P30/SUM($O$30:$S$30)</f>
        <v>0.4</v>
      </c>
      <c r="Q31" s="192">
        <f t="shared" si="46"/>
        <v>0.2</v>
      </c>
      <c r="R31" s="192">
        <f t="shared" si="46"/>
        <v>0.2</v>
      </c>
      <c r="S31" s="192">
        <f t="shared" si="46"/>
        <v>0.05</v>
      </c>
      <c r="T31" s="192">
        <f>T30/SUM($T$30:$X$30)</f>
        <v>0.15</v>
      </c>
      <c r="U31" s="192">
        <f t="shared" ref="U31:X31" si="47">U30/SUM($T$30:$X$30)</f>
        <v>0.4</v>
      </c>
      <c r="V31" s="192">
        <f t="shared" si="47"/>
        <v>0.2</v>
      </c>
      <c r="W31" s="192">
        <f t="shared" si="47"/>
        <v>0.2</v>
      </c>
      <c r="X31" s="192">
        <f t="shared" si="47"/>
        <v>0.05</v>
      </c>
      <c r="Y31" s="192">
        <f>Y30/SUM($Y$30:$AC$30)</f>
        <v>0.15</v>
      </c>
      <c r="Z31" s="192">
        <f t="shared" ref="Z31:AC31" si="48">Z30/SUM($Y$30:$AC$30)</f>
        <v>0.4</v>
      </c>
      <c r="AA31" s="192">
        <f t="shared" si="48"/>
        <v>0.2</v>
      </c>
      <c r="AB31" s="192">
        <f t="shared" si="48"/>
        <v>0.2</v>
      </c>
      <c r="AC31" s="192">
        <f t="shared" si="48"/>
        <v>0.05</v>
      </c>
    </row>
    <row r="32" spans="1:80" x14ac:dyDescent="0.25">
      <c r="P32" s="195"/>
      <c r="U32" s="195"/>
      <c r="Z32" s="195"/>
    </row>
    <row r="33" spans="1:29" ht="49.15" customHeight="1" x14ac:dyDescent="0.25">
      <c r="M33" s="99"/>
      <c r="N33" s="99"/>
      <c r="O33" s="242" t="s">
        <v>57</v>
      </c>
      <c r="P33" s="243"/>
      <c r="Q33" s="243"/>
      <c r="R33" s="243"/>
      <c r="S33" s="219" t="b">
        <f>IF(SUM(O28:S28)=SUM(H9:H27),TRUE,FALSE)</f>
        <v>1</v>
      </c>
      <c r="U33" s="178"/>
      <c r="X33" s="219" t="b">
        <f>IF(SUM(T28:X28)=SUM(J9:J27),TRUE,FALSE)</f>
        <v>1</v>
      </c>
      <c r="Z33" s="178"/>
      <c r="AC33" s="219" t="b">
        <f>IF(SUM(Y28:AC28)=SUM(L9:L27),TRUE,FALSE)</f>
        <v>1</v>
      </c>
    </row>
    <row r="34" spans="1:29" x14ac:dyDescent="0.25">
      <c r="M34" s="91"/>
      <c r="N34" s="91"/>
      <c r="Q34" s="178"/>
      <c r="U34" s="178"/>
      <c r="Z34" s="218"/>
    </row>
    <row r="37" spans="1:29" x14ac:dyDescent="0.25">
      <c r="A37" s="168" t="s">
        <v>9</v>
      </c>
      <c r="B37" s="54"/>
      <c r="C37" s="106"/>
      <c r="D37" s="25"/>
      <c r="E37" s="55"/>
      <c r="F37" s="55"/>
      <c r="G37" s="128">
        <f>F45+F53+F55</f>
        <v>136845</v>
      </c>
      <c r="H37" s="129"/>
      <c r="I37" s="57"/>
      <c r="J37" s="128">
        <f>I45+I53+I55</f>
        <v>136845</v>
      </c>
      <c r="K37" s="129"/>
      <c r="L37" s="57"/>
      <c r="M37" s="128">
        <f>L45+L53+L55</f>
        <v>136845</v>
      </c>
      <c r="N37" s="59">
        <f>SUM(G37:M37)</f>
        <v>410535</v>
      </c>
    </row>
    <row r="38" spans="1:29" x14ac:dyDescent="0.25">
      <c r="A38" s="169"/>
      <c r="B38" s="43"/>
      <c r="C38" s="13"/>
      <c r="D38" s="17"/>
      <c r="E38" s="41"/>
      <c r="F38" s="41"/>
      <c r="G38" s="131"/>
      <c r="H38" s="130"/>
      <c r="I38" s="59"/>
      <c r="J38" s="131"/>
      <c r="K38" s="130"/>
      <c r="L38" s="59"/>
      <c r="M38" s="131"/>
      <c r="N38" s="163"/>
      <c r="O38" s="179"/>
      <c r="P38" s="180"/>
      <c r="T38" s="179"/>
      <c r="U38" s="180"/>
      <c r="Y38" s="179"/>
      <c r="Z38" s="180"/>
    </row>
    <row r="39" spans="1:29" ht="16.149999999999999" customHeight="1" x14ac:dyDescent="0.25">
      <c r="A39" s="233" t="s">
        <v>59</v>
      </c>
      <c r="B39" s="233"/>
      <c r="C39" s="233"/>
      <c r="D39" s="233"/>
      <c r="E39" s="233"/>
      <c r="F39" s="233"/>
      <c r="G39" s="132"/>
      <c r="H39" s="133"/>
      <c r="I39" s="134"/>
      <c r="J39" s="132"/>
      <c r="K39" s="133"/>
      <c r="L39" s="134"/>
      <c r="M39" s="5"/>
      <c r="N39" s="164"/>
      <c r="O39" s="181"/>
      <c r="P39" s="182"/>
      <c r="T39" s="181"/>
      <c r="U39" s="182"/>
      <c r="Y39" s="181"/>
      <c r="Z39" s="182"/>
    </row>
    <row r="40" spans="1:29" x14ac:dyDescent="0.25">
      <c r="A40" s="2"/>
      <c r="B40" s="107" t="s">
        <v>14</v>
      </c>
      <c r="C40" s="107" t="s">
        <v>3</v>
      </c>
      <c r="D40" s="108" t="s">
        <v>15</v>
      </c>
      <c r="E40" s="109" t="s">
        <v>16</v>
      </c>
      <c r="F40" s="110" t="s">
        <v>4</v>
      </c>
      <c r="G40" s="135"/>
      <c r="H40" s="136"/>
      <c r="I40" s="41"/>
      <c r="J40" s="135"/>
      <c r="K40" s="136"/>
      <c r="L40" s="41"/>
      <c r="M40" s="135"/>
      <c r="N40" s="165"/>
      <c r="O40" s="183"/>
      <c r="P40" s="178"/>
      <c r="T40" s="183"/>
      <c r="U40" s="178"/>
      <c r="Y40" s="183"/>
      <c r="Z40" s="178"/>
    </row>
    <row r="41" spans="1:29" x14ac:dyDescent="0.25">
      <c r="A41" s="16"/>
      <c r="B41" s="111">
        <v>31</v>
      </c>
      <c r="C41" s="111">
        <v>2</v>
      </c>
      <c r="D41" s="69">
        <v>2</v>
      </c>
      <c r="E41" s="112"/>
      <c r="F41" s="43"/>
      <c r="G41" s="137"/>
      <c r="H41" s="138"/>
      <c r="I41" s="104"/>
      <c r="J41" s="137"/>
      <c r="K41" s="138"/>
      <c r="L41" s="104"/>
      <c r="M41" s="137"/>
      <c r="N41" s="166"/>
      <c r="O41" s="184"/>
      <c r="P41" s="185"/>
      <c r="T41" s="184"/>
      <c r="U41" s="185"/>
      <c r="Y41" s="184"/>
      <c r="Z41" s="185"/>
    </row>
    <row r="42" spans="1:29" x14ac:dyDescent="0.25">
      <c r="A42" s="14" t="s">
        <v>17</v>
      </c>
      <c r="B42" s="113"/>
      <c r="C42" s="113"/>
      <c r="D42" s="114"/>
      <c r="E42" s="115">
        <v>600</v>
      </c>
      <c r="F42" s="116">
        <f>E42*B41*C41</f>
        <v>37200</v>
      </c>
      <c r="G42" s="139"/>
      <c r="H42" s="140"/>
      <c r="I42" s="116">
        <f>F42</f>
        <v>37200</v>
      </c>
      <c r="J42" s="139"/>
      <c r="K42" s="140"/>
      <c r="L42" s="116">
        <f>F42</f>
        <v>37200</v>
      </c>
      <c r="M42" s="139"/>
      <c r="N42" s="167"/>
      <c r="O42" s="186"/>
      <c r="P42" s="187"/>
      <c r="T42" s="186"/>
      <c r="U42" s="187"/>
      <c r="Y42" s="186"/>
      <c r="Z42" s="187"/>
    </row>
    <row r="43" spans="1:29" x14ac:dyDescent="0.25">
      <c r="A43" s="14" t="s">
        <v>18</v>
      </c>
      <c r="B43" s="113"/>
      <c r="C43" s="113"/>
      <c r="D43" s="114"/>
      <c r="E43" s="115">
        <f>60+250</f>
        <v>310</v>
      </c>
      <c r="F43" s="116">
        <f>E43*B41*C41*D41</f>
        <v>38440</v>
      </c>
      <c r="G43" s="139"/>
      <c r="H43" s="140"/>
      <c r="I43" s="116">
        <f>F43</f>
        <v>38440</v>
      </c>
      <c r="J43" s="139"/>
      <c r="K43" s="140"/>
      <c r="L43" s="116">
        <f>F43</f>
        <v>38440</v>
      </c>
      <c r="M43" s="139"/>
      <c r="N43" s="167"/>
      <c r="O43" s="186"/>
      <c r="P43" s="187"/>
      <c r="T43" s="186"/>
      <c r="U43" s="187"/>
      <c r="Y43" s="186"/>
      <c r="Z43" s="187"/>
    </row>
    <row r="44" spans="1:29" ht="31.5" x14ac:dyDescent="0.25">
      <c r="A44" s="14" t="s">
        <v>19</v>
      </c>
      <c r="B44" s="113"/>
      <c r="C44" s="113"/>
      <c r="D44" s="117"/>
      <c r="E44" s="118">
        <v>75</v>
      </c>
      <c r="F44" s="116">
        <f>E44*C41*B41</f>
        <v>4650</v>
      </c>
      <c r="G44" s="139"/>
      <c r="H44" s="140"/>
      <c r="I44" s="116">
        <f>F44:F58</f>
        <v>4650</v>
      </c>
      <c r="J44" s="139"/>
      <c r="K44" s="140"/>
      <c r="L44" s="116">
        <f>F44</f>
        <v>4650</v>
      </c>
      <c r="M44" s="139"/>
      <c r="N44" s="167"/>
      <c r="O44" s="186"/>
      <c r="P44" s="187"/>
      <c r="T44" s="186"/>
      <c r="U44" s="187"/>
      <c r="Y44" s="186"/>
      <c r="Z44" s="187"/>
    </row>
    <row r="45" spans="1:29" x14ac:dyDescent="0.25">
      <c r="A45" s="119" t="s">
        <v>20</v>
      </c>
      <c r="B45" s="120"/>
      <c r="C45" s="120"/>
      <c r="D45" s="120"/>
      <c r="E45" s="121"/>
      <c r="F45" s="122">
        <f>SUM(F42:F44)</f>
        <v>80290</v>
      </c>
      <c r="G45" s="5"/>
      <c r="H45" s="79"/>
      <c r="I45" s="122">
        <f>SUM(I42:I44)</f>
        <v>80290</v>
      </c>
      <c r="J45" s="5"/>
      <c r="L45" s="122">
        <f>SUM(L42:L44)</f>
        <v>80290</v>
      </c>
      <c r="M45" s="5"/>
      <c r="N45" s="164"/>
      <c r="O45" s="188"/>
      <c r="P45" s="174"/>
      <c r="T45" s="188"/>
      <c r="U45" s="174"/>
      <c r="Y45" s="188"/>
      <c r="Z45" s="174"/>
    </row>
    <row r="46" spans="1:29" ht="16.149999999999999" customHeight="1" x14ac:dyDescent="0.25">
      <c r="A46" s="233" t="s">
        <v>58</v>
      </c>
      <c r="B46" s="233"/>
      <c r="C46" s="233"/>
      <c r="D46" s="233"/>
      <c r="E46" s="233"/>
      <c r="F46" s="233"/>
      <c r="G46" s="132"/>
      <c r="H46" s="133"/>
      <c r="I46" s="134"/>
      <c r="J46" s="132"/>
      <c r="K46" s="133"/>
      <c r="L46" s="134"/>
      <c r="M46" s="5"/>
      <c r="N46" s="164"/>
      <c r="O46" s="181"/>
      <c r="P46" s="182"/>
      <c r="T46" s="181"/>
      <c r="U46" s="182"/>
      <c r="Y46" s="181"/>
      <c r="Z46" s="182"/>
    </row>
    <row r="47" spans="1:29" x14ac:dyDescent="0.25">
      <c r="A47" s="2"/>
      <c r="B47" s="107" t="s">
        <v>14</v>
      </c>
      <c r="C47" s="107" t="s">
        <v>3</v>
      </c>
      <c r="D47" s="108" t="s">
        <v>15</v>
      </c>
      <c r="E47" s="109" t="s">
        <v>16</v>
      </c>
      <c r="F47" s="110" t="s">
        <v>4</v>
      </c>
      <c r="G47" s="135"/>
      <c r="H47" s="136"/>
      <c r="I47" s="41"/>
      <c r="J47" s="135"/>
      <c r="K47" s="136"/>
      <c r="L47" s="41"/>
      <c r="M47" s="135"/>
      <c r="N47" s="165"/>
      <c r="O47" s="183"/>
      <c r="P47" s="178"/>
      <c r="T47" s="183"/>
      <c r="U47" s="178"/>
      <c r="Y47" s="183"/>
      <c r="Z47" s="178"/>
    </row>
    <row r="48" spans="1:29" x14ac:dyDescent="0.25">
      <c r="A48" s="16"/>
      <c r="B48" s="111">
        <v>31</v>
      </c>
      <c r="C48" s="111">
        <v>1</v>
      </c>
      <c r="D48" s="69">
        <v>3.5</v>
      </c>
      <c r="E48" s="112"/>
      <c r="F48" s="43"/>
      <c r="G48" s="137"/>
      <c r="H48" s="138"/>
      <c r="I48" s="104"/>
      <c r="J48" s="137"/>
      <c r="K48" s="138"/>
      <c r="L48" s="104"/>
      <c r="M48" s="137"/>
      <c r="N48" s="166"/>
      <c r="O48" s="184"/>
      <c r="P48" s="185"/>
      <c r="T48" s="184"/>
      <c r="U48" s="185"/>
      <c r="Y48" s="184"/>
      <c r="Z48" s="185"/>
    </row>
    <row r="49" spans="1:26" x14ac:dyDescent="0.25">
      <c r="A49" s="14" t="s">
        <v>17</v>
      </c>
      <c r="B49" s="113"/>
      <c r="C49" s="113"/>
      <c r="D49" s="114"/>
      <c r="E49" s="115">
        <v>500</v>
      </c>
      <c r="F49" s="116">
        <f>E49*B48*C48</f>
        <v>15500</v>
      </c>
      <c r="G49" s="139"/>
      <c r="H49" s="140"/>
      <c r="I49" s="116">
        <f>F49</f>
        <v>15500</v>
      </c>
      <c r="J49" s="139"/>
      <c r="K49" s="140"/>
      <c r="L49" s="116">
        <f>F49</f>
        <v>15500</v>
      </c>
      <c r="M49" s="139"/>
      <c r="N49" s="167"/>
      <c r="O49" s="186"/>
      <c r="P49" s="187"/>
      <c r="T49" s="186"/>
      <c r="U49" s="187"/>
      <c r="Y49" s="186"/>
      <c r="Z49" s="187"/>
    </row>
    <row r="50" spans="1:26" x14ac:dyDescent="0.25">
      <c r="A50" s="14" t="s">
        <v>21</v>
      </c>
      <c r="B50" s="113"/>
      <c r="C50" s="113"/>
      <c r="D50" s="114"/>
      <c r="E50" s="115">
        <v>300</v>
      </c>
      <c r="F50" s="116">
        <f>E50*B48</f>
        <v>9300</v>
      </c>
      <c r="G50" s="139"/>
      <c r="H50" s="140"/>
      <c r="I50" s="116">
        <f>F50</f>
        <v>9300</v>
      </c>
      <c r="J50" s="139"/>
      <c r="K50" s="140"/>
      <c r="L50" s="116">
        <f>F50</f>
        <v>9300</v>
      </c>
      <c r="M50" s="139"/>
      <c r="N50" s="174" t="s">
        <v>13</v>
      </c>
      <c r="P50" s="187"/>
      <c r="T50" s="174" t="s">
        <v>13</v>
      </c>
      <c r="U50" s="187"/>
      <c r="Y50" s="174" t="s">
        <v>13</v>
      </c>
      <c r="Z50" s="187"/>
    </row>
    <row r="51" spans="1:26" x14ac:dyDescent="0.25">
      <c r="A51" s="14" t="s">
        <v>18</v>
      </c>
      <c r="B51" s="113"/>
      <c r="C51" s="113"/>
      <c r="D51" s="114"/>
      <c r="E51" s="115">
        <f>60+200</f>
        <v>260</v>
      </c>
      <c r="F51" s="116">
        <f>E51*B48*C48*D48</f>
        <v>28210</v>
      </c>
      <c r="G51" s="139"/>
      <c r="H51" s="140"/>
      <c r="I51" s="116">
        <f>F51</f>
        <v>28210</v>
      </c>
      <c r="J51" s="139"/>
      <c r="K51" s="140"/>
      <c r="L51" s="116">
        <f>F51</f>
        <v>28210</v>
      </c>
      <c r="M51" s="139"/>
      <c r="N51" s="177">
        <v>60</v>
      </c>
      <c r="P51" s="187"/>
      <c r="T51" s="177">
        <v>60</v>
      </c>
      <c r="U51" s="187"/>
      <c r="Y51" s="177">
        <v>60</v>
      </c>
      <c r="Z51" s="187"/>
    </row>
    <row r="52" spans="1:26" ht="31.5" x14ac:dyDescent="0.25">
      <c r="A52" s="14" t="s">
        <v>19</v>
      </c>
      <c r="B52" s="113"/>
      <c r="C52" s="113"/>
      <c r="D52" s="117"/>
      <c r="E52" s="118">
        <v>75</v>
      </c>
      <c r="F52" s="116">
        <f>E52*C48*B48</f>
        <v>2325</v>
      </c>
      <c r="G52" s="139"/>
      <c r="H52" s="140"/>
      <c r="I52" s="116">
        <f>F52</f>
        <v>2325</v>
      </c>
      <c r="J52" s="139"/>
      <c r="K52" s="140"/>
      <c r="L52" s="116">
        <f>F52</f>
        <v>2325</v>
      </c>
      <c r="M52" s="139"/>
      <c r="N52" s="174"/>
      <c r="P52" s="187"/>
      <c r="U52" s="187"/>
      <c r="Z52" s="187"/>
    </row>
    <row r="53" spans="1:26" x14ac:dyDescent="0.25">
      <c r="A53" s="119" t="s">
        <v>20</v>
      </c>
      <c r="B53" s="120"/>
      <c r="C53" s="120"/>
      <c r="D53" s="120"/>
      <c r="E53" s="121"/>
      <c r="F53" s="122">
        <f>SUM(F49:F52)</f>
        <v>55335</v>
      </c>
      <c r="G53" s="5"/>
      <c r="H53" s="79"/>
      <c r="I53" s="122">
        <f>SUM(I49:I52)</f>
        <v>55335</v>
      </c>
      <c r="J53" s="5"/>
      <c r="L53" s="122">
        <f>SUM(L49:L52)</f>
        <v>55335</v>
      </c>
      <c r="M53" s="5"/>
      <c r="N53" s="174"/>
      <c r="P53" s="174"/>
      <c r="U53" s="174"/>
      <c r="Z53" s="174"/>
    </row>
    <row r="54" spans="1:26" ht="16.149999999999999" customHeight="1" x14ac:dyDescent="0.25">
      <c r="A54" s="227" t="s">
        <v>42</v>
      </c>
      <c r="B54" s="228"/>
      <c r="C54" s="123"/>
      <c r="D54" s="124" t="s">
        <v>3</v>
      </c>
      <c r="E54" s="125" t="s">
        <v>23</v>
      </c>
      <c r="F54" s="43"/>
      <c r="G54" s="135"/>
      <c r="H54" s="136"/>
      <c r="I54" s="81"/>
      <c r="J54" s="135"/>
      <c r="K54" s="141"/>
      <c r="L54" s="81"/>
      <c r="M54" s="135"/>
      <c r="N54" s="189" t="s">
        <v>0</v>
      </c>
      <c r="P54" s="178"/>
      <c r="T54" s="189" t="s">
        <v>0</v>
      </c>
      <c r="U54" s="178"/>
      <c r="Y54" s="189" t="s">
        <v>0</v>
      </c>
      <c r="Z54" s="178"/>
    </row>
    <row r="55" spans="1:26" x14ac:dyDescent="0.25">
      <c r="A55" s="4"/>
      <c r="B55" s="60"/>
      <c r="C55" s="126"/>
      <c r="D55" s="61">
        <f>3*12</f>
        <v>36</v>
      </c>
      <c r="E55" s="127">
        <v>60</v>
      </c>
      <c r="F55" s="65">
        <f>D55*E55*N55</f>
        <v>1220</v>
      </c>
      <c r="G55" s="142"/>
      <c r="H55" s="143"/>
      <c r="I55" s="65">
        <f>F55</f>
        <v>1220</v>
      </c>
      <c r="J55" s="142"/>
      <c r="K55" s="144"/>
      <c r="L55" s="65">
        <f>I55</f>
        <v>1220</v>
      </c>
      <c r="M55" s="142"/>
      <c r="N55" s="190">
        <v>0.56499999999999995</v>
      </c>
      <c r="P55" s="191"/>
      <c r="T55" s="190">
        <v>0.56499999999999995</v>
      </c>
      <c r="U55" s="191"/>
      <c r="Y55" s="190">
        <v>0.56499999999999995</v>
      </c>
      <c r="Z55" s="191"/>
    </row>
  </sheetData>
  <mergeCells count="31">
    <mergeCell ref="A25:B25"/>
    <mergeCell ref="A22:B22"/>
    <mergeCell ref="O33:R33"/>
    <mergeCell ref="A39:F39"/>
    <mergeCell ref="A46:F46"/>
    <mergeCell ref="A23:B23"/>
    <mergeCell ref="A54:B54"/>
    <mergeCell ref="A28:B28"/>
    <mergeCell ref="A29:B29"/>
    <mergeCell ref="A30:B30"/>
    <mergeCell ref="K31:L31"/>
    <mergeCell ref="A21:B21"/>
    <mergeCell ref="A17:B17"/>
    <mergeCell ref="A18:B18"/>
    <mergeCell ref="C4:H4"/>
    <mergeCell ref="I4:J4"/>
    <mergeCell ref="A13:G13"/>
    <mergeCell ref="A14:G14"/>
    <mergeCell ref="A16:C16"/>
    <mergeCell ref="A19:B19"/>
    <mergeCell ref="A20:B20"/>
    <mergeCell ref="A11:C11"/>
    <mergeCell ref="A12:B12"/>
    <mergeCell ref="A1:N1"/>
    <mergeCell ref="A2:M2"/>
    <mergeCell ref="A3:M3"/>
    <mergeCell ref="O3:S3"/>
    <mergeCell ref="T3:X3"/>
    <mergeCell ref="Y3:AC3"/>
    <mergeCell ref="K4:L4"/>
    <mergeCell ref="A6:B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workbookViewId="0">
      <selection activeCell="D10" sqref="D10"/>
    </sheetView>
  </sheetViews>
  <sheetFormatPr defaultColWidth="10.875" defaultRowHeight="12.75" x14ac:dyDescent="0.2"/>
  <cols>
    <col min="2" max="2" width="27.125" customWidth="1"/>
    <col min="8" max="8" width="11.125" bestFit="1" customWidth="1"/>
    <col min="13" max="13" width="12.875" customWidth="1"/>
    <col min="14" max="14" width="13" customWidth="1"/>
  </cols>
  <sheetData>
    <row r="1" spans="1:29" ht="85.9" customHeight="1" x14ac:dyDescent="0.25">
      <c r="A1" s="255" t="s">
        <v>83</v>
      </c>
      <c r="B1" s="256"/>
      <c r="C1" s="256"/>
      <c r="D1" s="256"/>
      <c r="E1" s="256"/>
      <c r="F1" s="256"/>
      <c r="G1" s="256"/>
      <c r="H1" s="256"/>
      <c r="I1" s="256"/>
      <c r="J1" s="256"/>
      <c r="K1" s="256"/>
      <c r="L1" s="256"/>
      <c r="M1" s="256"/>
      <c r="N1" s="256"/>
      <c r="O1" s="174"/>
      <c r="P1" s="176"/>
      <c r="Q1" s="176"/>
      <c r="R1" s="176"/>
      <c r="S1" s="176"/>
      <c r="T1" s="174"/>
      <c r="U1" s="176"/>
      <c r="V1" s="176"/>
      <c r="W1" s="176"/>
      <c r="X1" s="176"/>
      <c r="Y1" s="174"/>
      <c r="Z1" s="176"/>
      <c r="AA1" s="176"/>
      <c r="AB1" s="176"/>
      <c r="AC1" s="176"/>
    </row>
    <row r="2" spans="1:29" ht="15.75" x14ac:dyDescent="0.2">
      <c r="A2" s="268" t="s">
        <v>84</v>
      </c>
      <c r="B2" s="269"/>
      <c r="C2" s="269"/>
      <c r="D2" s="269"/>
      <c r="E2" s="269"/>
      <c r="F2" s="269"/>
      <c r="G2" s="269"/>
      <c r="H2" s="269"/>
      <c r="I2" s="269"/>
      <c r="J2" s="269"/>
      <c r="K2" s="269"/>
      <c r="L2" s="269"/>
      <c r="M2" s="269"/>
      <c r="N2" s="170"/>
      <c r="O2" s="196" t="s">
        <v>52</v>
      </c>
      <c r="P2" s="197" t="s">
        <v>53</v>
      </c>
      <c r="Q2" s="197" t="s">
        <v>54</v>
      </c>
      <c r="R2" s="197" t="s">
        <v>55</v>
      </c>
      <c r="S2" s="198" t="s">
        <v>56</v>
      </c>
      <c r="T2" s="196" t="s">
        <v>52</v>
      </c>
      <c r="U2" s="197" t="s">
        <v>53</v>
      </c>
      <c r="V2" s="197" t="s">
        <v>54</v>
      </c>
      <c r="W2" s="197" t="s">
        <v>55</v>
      </c>
      <c r="X2" s="198" t="s">
        <v>56</v>
      </c>
      <c r="Y2" s="196" t="s">
        <v>52</v>
      </c>
      <c r="Z2" s="197" t="s">
        <v>53</v>
      </c>
      <c r="AA2" s="197" t="s">
        <v>54</v>
      </c>
      <c r="AB2" s="197" t="s">
        <v>55</v>
      </c>
      <c r="AC2" s="198" t="s">
        <v>56</v>
      </c>
    </row>
    <row r="3" spans="1:29" ht="15.75" x14ac:dyDescent="0.2">
      <c r="A3" s="246" t="s">
        <v>78</v>
      </c>
      <c r="B3" s="247"/>
      <c r="C3" s="247"/>
      <c r="D3" s="247"/>
      <c r="E3" s="247"/>
      <c r="F3" s="247"/>
      <c r="G3" s="247"/>
      <c r="H3" s="247"/>
      <c r="I3" s="247"/>
      <c r="J3" s="247"/>
      <c r="K3" s="247"/>
      <c r="L3" s="247"/>
      <c r="M3" s="247"/>
      <c r="N3" s="171"/>
      <c r="O3" s="234" t="s">
        <v>47</v>
      </c>
      <c r="P3" s="235"/>
      <c r="Q3" s="235"/>
      <c r="R3" s="235"/>
      <c r="S3" s="236"/>
      <c r="T3" s="234" t="s">
        <v>48</v>
      </c>
      <c r="U3" s="235"/>
      <c r="V3" s="235"/>
      <c r="W3" s="235"/>
      <c r="X3" s="236"/>
      <c r="Y3" s="234" t="s">
        <v>49</v>
      </c>
      <c r="Z3" s="235"/>
      <c r="AA3" s="235"/>
      <c r="AB3" s="235"/>
      <c r="AC3" s="236"/>
    </row>
    <row r="4" spans="1:29" ht="31.9" customHeight="1" x14ac:dyDescent="0.25">
      <c r="A4" s="270" t="s">
        <v>1</v>
      </c>
      <c r="B4" s="271"/>
      <c r="C4" s="237" t="s">
        <v>2</v>
      </c>
      <c r="D4" s="237"/>
      <c r="E4" s="237"/>
      <c r="F4" s="237"/>
      <c r="G4" s="237"/>
      <c r="H4" s="237"/>
      <c r="I4" s="238" t="s">
        <v>12</v>
      </c>
      <c r="J4" s="239"/>
      <c r="K4" s="240" t="s">
        <v>10</v>
      </c>
      <c r="L4" s="241"/>
      <c r="M4" s="36" t="s">
        <v>6</v>
      </c>
      <c r="N4" s="155"/>
      <c r="O4" s="199">
        <v>0.15</v>
      </c>
      <c r="P4" s="173">
        <v>0.4</v>
      </c>
      <c r="Q4" s="173">
        <v>0.2</v>
      </c>
      <c r="R4" s="173">
        <v>0.2</v>
      </c>
      <c r="S4" s="200">
        <v>0.05</v>
      </c>
      <c r="T4" s="199">
        <v>0.15</v>
      </c>
      <c r="U4" s="173">
        <v>0.4</v>
      </c>
      <c r="V4" s="173">
        <v>0.2</v>
      </c>
      <c r="W4" s="173">
        <v>0.2</v>
      </c>
      <c r="X4" s="200">
        <v>0.05</v>
      </c>
      <c r="Y4" s="199">
        <v>0.15</v>
      </c>
      <c r="Z4" s="173">
        <v>0.4</v>
      </c>
      <c r="AA4" s="173">
        <v>0.2</v>
      </c>
      <c r="AB4" s="173">
        <v>0.2</v>
      </c>
      <c r="AC4" s="200">
        <v>0.05</v>
      </c>
    </row>
    <row r="5" spans="1:29" ht="15.75" x14ac:dyDescent="0.25">
      <c r="A5" s="21" t="s">
        <v>37</v>
      </c>
      <c r="B5" s="11" t="s">
        <v>38</v>
      </c>
      <c r="C5" s="11" t="s">
        <v>25</v>
      </c>
      <c r="D5" s="11" t="s">
        <v>26</v>
      </c>
      <c r="E5" s="12" t="s">
        <v>11</v>
      </c>
      <c r="F5" s="12" t="s">
        <v>27</v>
      </c>
      <c r="G5" s="12" t="s">
        <v>73</v>
      </c>
      <c r="H5" s="37" t="s">
        <v>4</v>
      </c>
      <c r="I5" s="12" t="s">
        <v>11</v>
      </c>
      <c r="J5" s="37" t="s">
        <v>4</v>
      </c>
      <c r="K5" s="12" t="s">
        <v>11</v>
      </c>
      <c r="L5" s="38" t="s">
        <v>4</v>
      </c>
      <c r="M5" s="39"/>
      <c r="N5" s="40" t="s">
        <v>22</v>
      </c>
      <c r="O5" s="201"/>
      <c r="P5" s="175"/>
      <c r="Q5" s="175"/>
      <c r="R5" s="175"/>
      <c r="S5" s="202"/>
      <c r="T5" s="201"/>
      <c r="U5" s="175"/>
      <c r="V5" s="175"/>
      <c r="W5" s="175"/>
      <c r="X5" s="202"/>
      <c r="Y5" s="201"/>
      <c r="Z5" s="175"/>
      <c r="AA5" s="175"/>
      <c r="AB5" s="175"/>
      <c r="AC5" s="202"/>
    </row>
    <row r="6" spans="1:29" ht="15.75" x14ac:dyDescent="0.25">
      <c r="A6" s="248" t="s">
        <v>7</v>
      </c>
      <c r="B6" s="249"/>
      <c r="C6" s="17"/>
      <c r="D6" s="17"/>
      <c r="E6" s="41"/>
      <c r="F6" s="41"/>
      <c r="G6" s="41"/>
      <c r="H6" s="42"/>
      <c r="I6" s="41"/>
      <c r="J6" s="42"/>
      <c r="K6" s="41"/>
      <c r="L6" s="43"/>
      <c r="M6" s="28"/>
      <c r="N6" s="8" t="s">
        <v>8</v>
      </c>
      <c r="O6" s="201"/>
      <c r="P6" s="175"/>
      <c r="Q6" s="175"/>
      <c r="R6" s="175"/>
      <c r="S6" s="202"/>
      <c r="T6" s="201"/>
      <c r="U6" s="175"/>
      <c r="V6" s="175"/>
      <c r="W6" s="175"/>
      <c r="X6" s="202"/>
      <c r="Y6" s="201"/>
      <c r="Z6" s="175"/>
      <c r="AA6" s="175"/>
      <c r="AB6" s="175"/>
      <c r="AC6" s="202"/>
    </row>
    <row r="7" spans="1:29" ht="15.75" x14ac:dyDescent="0.25">
      <c r="A7" s="44" t="s">
        <v>24</v>
      </c>
      <c r="B7" s="153" t="s">
        <v>45</v>
      </c>
      <c r="C7" s="45">
        <v>75000</v>
      </c>
      <c r="D7" s="101">
        <v>6</v>
      </c>
      <c r="E7" s="46">
        <v>0.5</v>
      </c>
      <c r="F7" s="47">
        <f t="shared" ref="F7:F12" si="0">E7*C7</f>
        <v>37500</v>
      </c>
      <c r="G7" s="47">
        <f t="shared" ref="G7:G12" si="1">F7*0.25</f>
        <v>9375</v>
      </c>
      <c r="H7" s="18">
        <f t="shared" ref="H7:H12" si="2">C7*E7+G7</f>
        <v>46875</v>
      </c>
      <c r="I7" s="46">
        <v>0.5</v>
      </c>
      <c r="J7" s="18">
        <f t="shared" ref="J7:J12" si="3">(I7*C7)*0.25+(I7*C7)</f>
        <v>46875</v>
      </c>
      <c r="K7" s="46">
        <v>0.25</v>
      </c>
      <c r="L7" s="18">
        <f>(K7*C7)*0.25+(K7*C7)</f>
        <v>23438</v>
      </c>
      <c r="M7" s="48"/>
      <c r="N7" s="9">
        <v>113169</v>
      </c>
      <c r="O7" s="203">
        <f>H7*$O$4</f>
        <v>7031.25</v>
      </c>
      <c r="P7" s="194">
        <f>H7*$P$4</f>
        <v>18750</v>
      </c>
      <c r="Q7" s="194">
        <f>H7*$Q$4</f>
        <v>9375</v>
      </c>
      <c r="R7" s="194">
        <f>H7*$R$4</f>
        <v>9375</v>
      </c>
      <c r="S7" s="204">
        <f>H7*$S$4</f>
        <v>2343.75</v>
      </c>
      <c r="T7" s="203">
        <f>J7*$T$4</f>
        <v>7031.25</v>
      </c>
      <c r="U7" s="194">
        <f>J7*$U$4</f>
        <v>18750</v>
      </c>
      <c r="V7" s="194">
        <f>J7*$V$4</f>
        <v>9375</v>
      </c>
      <c r="W7" s="194">
        <f>J7*$W$4</f>
        <v>9375</v>
      </c>
      <c r="X7" s="204">
        <f>J7*$X$4</f>
        <v>2343.75</v>
      </c>
      <c r="Y7" s="203">
        <f>L7*$Y$4</f>
        <v>3515.7</v>
      </c>
      <c r="Z7" s="194">
        <f>L7*$Z$4</f>
        <v>9375.2000000000007</v>
      </c>
      <c r="AA7" s="194">
        <f>L7*$AA$4</f>
        <v>4687.6000000000004</v>
      </c>
      <c r="AB7" s="194">
        <f>L7*$AB$4</f>
        <v>4687.6000000000004</v>
      </c>
      <c r="AC7" s="204">
        <f>L7*$AC$4</f>
        <v>1171.9000000000001</v>
      </c>
    </row>
    <row r="8" spans="1:29" ht="15.75" x14ac:dyDescent="0.25">
      <c r="A8" s="44" t="s">
        <v>24</v>
      </c>
      <c r="B8" s="154" t="s">
        <v>46</v>
      </c>
      <c r="C8" s="100">
        <v>60000</v>
      </c>
      <c r="D8" s="101">
        <v>6</v>
      </c>
      <c r="E8" s="49">
        <v>0.5</v>
      </c>
      <c r="F8" s="47">
        <f t="shared" si="0"/>
        <v>30000</v>
      </c>
      <c r="G8" s="47">
        <f t="shared" si="1"/>
        <v>7500</v>
      </c>
      <c r="H8" s="18">
        <f t="shared" si="2"/>
        <v>37500</v>
      </c>
      <c r="I8" s="49">
        <v>0.25</v>
      </c>
      <c r="J8" s="18">
        <f t="shared" si="3"/>
        <v>18750</v>
      </c>
      <c r="K8" s="49">
        <v>0.25</v>
      </c>
      <c r="L8" s="18">
        <f>(K8*C8)*0.25+K8*C8</f>
        <v>18750</v>
      </c>
      <c r="M8" s="50"/>
      <c r="N8" s="10">
        <v>96443</v>
      </c>
      <c r="O8" s="203">
        <f t="shared" ref="O8" si="4">H8*$O$4</f>
        <v>5625</v>
      </c>
      <c r="P8" s="194">
        <f t="shared" ref="P8" si="5">H8*$P$4</f>
        <v>15000</v>
      </c>
      <c r="Q8" s="194">
        <f t="shared" ref="Q8" si="6">H8*$Q$4</f>
        <v>7500</v>
      </c>
      <c r="R8" s="194">
        <f t="shared" ref="R8" si="7">H8*$R$4</f>
        <v>7500</v>
      </c>
      <c r="S8" s="204">
        <f t="shared" ref="S8" si="8">H8*$S$4</f>
        <v>1875</v>
      </c>
      <c r="T8" s="203">
        <f t="shared" ref="T8" si="9">J8*$T$4</f>
        <v>2812.5</v>
      </c>
      <c r="U8" s="194">
        <f t="shared" ref="U8" si="10">J8*$U$4</f>
        <v>7500</v>
      </c>
      <c r="V8" s="194">
        <f t="shared" ref="V8" si="11">J8*$V$4</f>
        <v>3750</v>
      </c>
      <c r="W8" s="194">
        <f t="shared" ref="W8" si="12">J8*$W$4</f>
        <v>3750</v>
      </c>
      <c r="X8" s="204">
        <f t="shared" ref="X8" si="13">J8*$X$4</f>
        <v>937.5</v>
      </c>
      <c r="Y8" s="203">
        <f>L8*$Y$4</f>
        <v>2812.5</v>
      </c>
      <c r="Z8" s="194">
        <f>L8*$Z$4</f>
        <v>7500</v>
      </c>
      <c r="AA8" s="194">
        <f>L8*$AA$4</f>
        <v>3750</v>
      </c>
      <c r="AB8" s="194">
        <f>L8*$AB$4</f>
        <v>3750</v>
      </c>
      <c r="AC8" s="204">
        <f>L8*$AC$4</f>
        <v>937.5</v>
      </c>
    </row>
    <row r="9" spans="1:29" ht="15.75" x14ac:dyDescent="0.25">
      <c r="A9" s="44" t="s">
        <v>24</v>
      </c>
      <c r="B9" s="152" t="s">
        <v>61</v>
      </c>
      <c r="C9" s="45">
        <v>50000</v>
      </c>
      <c r="D9" s="101">
        <v>12</v>
      </c>
      <c r="E9" s="46">
        <v>1</v>
      </c>
      <c r="F9" s="47">
        <f t="shared" si="0"/>
        <v>50000</v>
      </c>
      <c r="G9" s="47">
        <f t="shared" si="1"/>
        <v>12500</v>
      </c>
      <c r="H9" s="18">
        <f t="shared" si="2"/>
        <v>62500</v>
      </c>
      <c r="I9" s="46">
        <v>0.5</v>
      </c>
      <c r="J9" s="18">
        <f t="shared" si="3"/>
        <v>31250</v>
      </c>
      <c r="K9" s="46">
        <v>0.25</v>
      </c>
      <c r="L9" s="18">
        <f>(K9*C9)*0.25+K9*C9</f>
        <v>15625</v>
      </c>
      <c r="M9" s="28"/>
      <c r="N9" s="10">
        <v>86691</v>
      </c>
      <c r="O9" s="203">
        <f>H9*1</f>
        <v>62500</v>
      </c>
      <c r="P9" s="194">
        <v>0</v>
      </c>
      <c r="Q9" s="194">
        <v>0</v>
      </c>
      <c r="R9" s="194">
        <v>0</v>
      </c>
      <c r="S9" s="204">
        <v>0</v>
      </c>
      <c r="T9" s="203">
        <f>J9*1</f>
        <v>31250</v>
      </c>
      <c r="U9" s="194">
        <v>0</v>
      </c>
      <c r="V9" s="194">
        <v>0</v>
      </c>
      <c r="W9" s="194">
        <v>0</v>
      </c>
      <c r="X9" s="204">
        <v>0</v>
      </c>
      <c r="Y9" s="203">
        <f>L9*1</f>
        <v>15625</v>
      </c>
      <c r="Z9" s="194">
        <v>0</v>
      </c>
      <c r="AA9" s="194">
        <v>0</v>
      </c>
      <c r="AB9" s="194">
        <v>0</v>
      </c>
      <c r="AC9" s="204">
        <v>0</v>
      </c>
    </row>
    <row r="10" spans="1:29" ht="15.75" x14ac:dyDescent="0.25">
      <c r="A10" s="44" t="s">
        <v>24</v>
      </c>
      <c r="B10" s="152" t="s">
        <v>62</v>
      </c>
      <c r="C10" s="45">
        <v>50000</v>
      </c>
      <c r="D10" s="101">
        <v>12</v>
      </c>
      <c r="E10" s="46">
        <v>1</v>
      </c>
      <c r="F10" s="47">
        <f t="shared" si="0"/>
        <v>50000</v>
      </c>
      <c r="G10" s="47">
        <f t="shared" si="1"/>
        <v>12500</v>
      </c>
      <c r="H10" s="18">
        <f t="shared" si="2"/>
        <v>62500</v>
      </c>
      <c r="I10" s="221">
        <v>0.5</v>
      </c>
      <c r="J10" s="18">
        <f t="shared" si="3"/>
        <v>31250</v>
      </c>
      <c r="K10" s="46">
        <v>0.25</v>
      </c>
      <c r="L10" s="18">
        <f>(K10*C10)*0.25+K10*C10</f>
        <v>15625</v>
      </c>
      <c r="M10" s="51"/>
      <c r="N10" s="10">
        <v>50219</v>
      </c>
      <c r="O10" s="203">
        <v>0</v>
      </c>
      <c r="P10" s="194">
        <f>H10*1</f>
        <v>62500</v>
      </c>
      <c r="Q10" s="194">
        <v>0</v>
      </c>
      <c r="R10" s="194">
        <v>0</v>
      </c>
      <c r="S10" s="204">
        <v>0</v>
      </c>
      <c r="T10" s="203">
        <v>0</v>
      </c>
      <c r="U10" s="194">
        <f>J10*1</f>
        <v>31250</v>
      </c>
      <c r="V10" s="194">
        <v>0</v>
      </c>
      <c r="W10" s="194">
        <v>0</v>
      </c>
      <c r="X10" s="204">
        <v>0</v>
      </c>
      <c r="Y10" s="203">
        <v>0</v>
      </c>
      <c r="Z10" s="194">
        <f>L10*1</f>
        <v>15625</v>
      </c>
      <c r="AA10" s="194">
        <v>0</v>
      </c>
      <c r="AB10" s="194">
        <v>0</v>
      </c>
      <c r="AC10" s="204">
        <v>0</v>
      </c>
    </row>
    <row r="11" spans="1:29" ht="15.75" x14ac:dyDescent="0.25">
      <c r="A11" s="44" t="s">
        <v>24</v>
      </c>
      <c r="B11" s="152" t="s">
        <v>63</v>
      </c>
      <c r="C11" s="45">
        <v>50000</v>
      </c>
      <c r="D11" s="101">
        <v>12</v>
      </c>
      <c r="E11" s="46">
        <v>1</v>
      </c>
      <c r="F11" s="47">
        <f t="shared" si="0"/>
        <v>50000</v>
      </c>
      <c r="G11" s="47">
        <f t="shared" si="1"/>
        <v>12500</v>
      </c>
      <c r="H11" s="18">
        <f t="shared" si="2"/>
        <v>62500</v>
      </c>
      <c r="I11" s="46">
        <v>0.5</v>
      </c>
      <c r="J11" s="18">
        <f t="shared" si="3"/>
        <v>31250</v>
      </c>
      <c r="K11" s="46">
        <v>0.25</v>
      </c>
      <c r="L11" s="18">
        <f>(K11*C11)*0.25+K11*C11</f>
        <v>15625</v>
      </c>
      <c r="M11" s="50"/>
      <c r="N11" s="10">
        <v>60643</v>
      </c>
      <c r="O11" s="203">
        <v>0</v>
      </c>
      <c r="P11" s="194">
        <v>0</v>
      </c>
      <c r="Q11" s="194">
        <f>H11*1</f>
        <v>62500</v>
      </c>
      <c r="R11" s="194">
        <v>0</v>
      </c>
      <c r="S11" s="204">
        <v>0</v>
      </c>
      <c r="T11" s="203">
        <v>0</v>
      </c>
      <c r="U11" s="194">
        <v>0</v>
      </c>
      <c r="V11" s="194">
        <f>J11*1</f>
        <v>31250</v>
      </c>
      <c r="W11" s="194">
        <v>0</v>
      </c>
      <c r="X11" s="204">
        <v>0</v>
      </c>
      <c r="Y11" s="203">
        <v>0</v>
      </c>
      <c r="Z11" s="194">
        <v>0</v>
      </c>
      <c r="AA11" s="194">
        <f>L11*1</f>
        <v>15625</v>
      </c>
      <c r="AB11" s="194">
        <v>0</v>
      </c>
      <c r="AC11" s="204">
        <v>0</v>
      </c>
    </row>
    <row r="12" spans="1:29" ht="15.75" x14ac:dyDescent="0.25">
      <c r="A12" s="44" t="s">
        <v>24</v>
      </c>
      <c r="B12" s="152" t="s">
        <v>64</v>
      </c>
      <c r="C12" s="45">
        <v>50000</v>
      </c>
      <c r="D12" s="101">
        <v>12</v>
      </c>
      <c r="E12" s="46">
        <v>1</v>
      </c>
      <c r="F12" s="47">
        <f t="shared" si="0"/>
        <v>50000</v>
      </c>
      <c r="G12" s="47">
        <f t="shared" si="1"/>
        <v>12500</v>
      </c>
      <c r="H12" s="18">
        <f t="shared" si="2"/>
        <v>62500</v>
      </c>
      <c r="I12" s="46">
        <v>0.5</v>
      </c>
      <c r="J12" s="18">
        <f t="shared" si="3"/>
        <v>31250</v>
      </c>
      <c r="K12" s="46">
        <v>0.25</v>
      </c>
      <c r="L12" s="18">
        <f>(K12*C12)*0.25+K12*C12</f>
        <v>15625</v>
      </c>
      <c r="M12" s="52"/>
      <c r="N12" s="9">
        <v>89853</v>
      </c>
      <c r="O12" s="203">
        <v>0</v>
      </c>
      <c r="P12" s="194">
        <v>0</v>
      </c>
      <c r="Q12" s="194">
        <v>0</v>
      </c>
      <c r="R12" s="194">
        <f>H12*1</f>
        <v>62500</v>
      </c>
      <c r="S12" s="204">
        <v>0</v>
      </c>
      <c r="T12" s="203">
        <v>0</v>
      </c>
      <c r="U12" s="194">
        <v>0</v>
      </c>
      <c r="V12" s="194">
        <v>0</v>
      </c>
      <c r="W12" s="194">
        <f>J12*1</f>
        <v>31250</v>
      </c>
      <c r="X12" s="204">
        <v>0</v>
      </c>
      <c r="Y12" s="203">
        <v>0</v>
      </c>
      <c r="Z12" s="194">
        <v>0</v>
      </c>
      <c r="AA12" s="194">
        <v>0</v>
      </c>
      <c r="AB12" s="194">
        <f>L12*1</f>
        <v>15625</v>
      </c>
      <c r="AC12" s="204">
        <v>0</v>
      </c>
    </row>
    <row r="13" spans="1:29" ht="15.75" x14ac:dyDescent="0.25">
      <c r="A13" s="22" t="s">
        <v>36</v>
      </c>
      <c r="B13" s="17"/>
      <c r="C13" s="17"/>
      <c r="D13" s="17"/>
      <c r="E13" s="17"/>
      <c r="F13" s="13">
        <f>SUM(F7:F12)</f>
        <v>267500</v>
      </c>
      <c r="G13" s="13">
        <f>SUM(G7:G12)</f>
        <v>66875</v>
      </c>
      <c r="H13" s="20">
        <f>SUM(H7:H12)</f>
        <v>334375</v>
      </c>
      <c r="I13" s="17"/>
      <c r="J13" s="20">
        <f>SUM(J7:J12)</f>
        <v>190625</v>
      </c>
      <c r="K13" s="17"/>
      <c r="L13" s="20">
        <f>SUM(L7:L12)</f>
        <v>104688</v>
      </c>
      <c r="M13" s="28">
        <f>SUM(H13,J13,L13)</f>
        <v>629688</v>
      </c>
      <c r="N13" s="156"/>
      <c r="O13" s="193"/>
      <c r="P13" s="194"/>
      <c r="Q13" s="194"/>
      <c r="R13" s="194"/>
      <c r="S13" s="204"/>
      <c r="T13" s="193"/>
      <c r="U13" s="194"/>
      <c r="V13" s="194"/>
      <c r="W13" s="194"/>
      <c r="X13" s="204"/>
      <c r="Y13" s="193"/>
      <c r="Z13" s="194"/>
      <c r="AA13" s="194"/>
      <c r="AB13" s="194"/>
      <c r="AC13" s="204"/>
    </row>
    <row r="14" spans="1:29" ht="15.75" x14ac:dyDescent="0.25">
      <c r="A14" s="21" t="s">
        <v>9</v>
      </c>
      <c r="B14" s="54"/>
      <c r="C14" s="25"/>
      <c r="D14" s="25"/>
      <c r="E14" s="55"/>
      <c r="F14" s="55"/>
      <c r="G14" s="55"/>
      <c r="H14" s="56"/>
      <c r="I14" s="57"/>
      <c r="J14" s="58"/>
      <c r="K14" s="57"/>
      <c r="L14" s="57"/>
      <c r="M14" s="28"/>
      <c r="N14" s="223"/>
      <c r="O14" s="193"/>
      <c r="P14" s="194"/>
      <c r="Q14" s="194"/>
      <c r="R14" s="194"/>
      <c r="S14" s="204"/>
      <c r="T14" s="193"/>
      <c r="U14" s="194"/>
      <c r="V14" s="194"/>
      <c r="W14" s="194"/>
      <c r="X14" s="204"/>
      <c r="Y14" s="193"/>
      <c r="Z14" s="194"/>
      <c r="AA14" s="194"/>
      <c r="AB14" s="194"/>
      <c r="AC14" s="204"/>
    </row>
    <row r="15" spans="1:29" ht="15.75" x14ac:dyDescent="0.25">
      <c r="A15" s="250" t="s">
        <v>43</v>
      </c>
      <c r="B15" s="251"/>
      <c r="C15" s="252"/>
      <c r="D15" s="61"/>
      <c r="E15" s="62"/>
      <c r="F15" s="63"/>
      <c r="G15" s="63"/>
      <c r="H15" s="64">
        <f>G41</f>
        <v>136845</v>
      </c>
      <c r="I15" s="65"/>
      <c r="J15" s="66">
        <f>H15</f>
        <v>136845</v>
      </c>
      <c r="K15" s="67"/>
      <c r="L15" s="65">
        <f>J15</f>
        <v>136845</v>
      </c>
      <c r="M15" s="29">
        <f>N41</f>
        <v>410535</v>
      </c>
      <c r="N15" s="41"/>
      <c r="O15" s="193">
        <f>H15*$O$4</f>
        <v>20526.75</v>
      </c>
      <c r="P15" s="194">
        <f>H15*$P$4</f>
        <v>54738</v>
      </c>
      <c r="Q15" s="194">
        <f>H15*$Q$4</f>
        <v>27369</v>
      </c>
      <c r="R15" s="194">
        <f>H15*$R$4</f>
        <v>27369</v>
      </c>
      <c r="S15" s="205">
        <f>H15*$S$4</f>
        <v>6842.25</v>
      </c>
      <c r="T15" s="203">
        <f>J15*$T$4</f>
        <v>20526.75</v>
      </c>
      <c r="U15" s="194">
        <f t="shared" ref="U15:U21" si="14">J15*$U$4</f>
        <v>54738</v>
      </c>
      <c r="V15" s="194">
        <f>J15*$V$4</f>
        <v>27369</v>
      </c>
      <c r="W15" s="194">
        <f t="shared" ref="W15:W21" si="15">J15*$W$4</f>
        <v>27369</v>
      </c>
      <c r="X15" s="204">
        <f t="shared" ref="X15:X31" si="16">J15*$X$4</f>
        <v>6842.25</v>
      </c>
      <c r="Y15" s="193">
        <f>L15*$Y$4</f>
        <v>20526.75</v>
      </c>
      <c r="Z15" s="194">
        <f>L15*$Z$4</f>
        <v>54738</v>
      </c>
      <c r="AA15" s="194">
        <f>L15*$AA$4</f>
        <v>27369</v>
      </c>
      <c r="AB15" s="194">
        <f>L15*$AB$4</f>
        <v>27369</v>
      </c>
      <c r="AC15" s="205">
        <f>L15*$AC$4</f>
        <v>6842.25</v>
      </c>
    </row>
    <row r="16" spans="1:29" ht="15.75" x14ac:dyDescent="0.25">
      <c r="A16" s="253" t="s">
        <v>28</v>
      </c>
      <c r="B16" s="254"/>
      <c r="C16" s="68"/>
      <c r="D16" s="68"/>
      <c r="E16" s="69"/>
      <c r="F16" s="70"/>
      <c r="G16" s="70"/>
      <c r="H16" s="71"/>
      <c r="I16" s="41"/>
      <c r="J16" s="27"/>
      <c r="K16" s="72"/>
      <c r="L16" s="41"/>
      <c r="M16" s="28"/>
      <c r="N16" s="41"/>
      <c r="O16" s="193"/>
      <c r="P16" s="194">
        <f t="shared" ref="P16:P29" si="17">H16*$P$4</f>
        <v>0</v>
      </c>
      <c r="Q16" s="194">
        <f t="shared" ref="Q16:Q31" si="18">H16*$Q$4</f>
        <v>0</v>
      </c>
      <c r="R16" s="194">
        <f t="shared" ref="R16:R31" si="19">H16*$R$4</f>
        <v>0</v>
      </c>
      <c r="S16" s="205">
        <f t="shared" ref="S16:S31" si="20">H16*$S$4</f>
        <v>0</v>
      </c>
      <c r="T16" s="203">
        <f t="shared" ref="T16:T30" si="21">J16*$T$4</f>
        <v>0</v>
      </c>
      <c r="U16" s="194">
        <f t="shared" si="14"/>
        <v>0</v>
      </c>
      <c r="V16" s="194">
        <f t="shared" ref="V16:V20" si="22">J16*$V$4</f>
        <v>0</v>
      </c>
      <c r="W16" s="194">
        <f t="shared" si="15"/>
        <v>0</v>
      </c>
      <c r="X16" s="204">
        <f t="shared" si="16"/>
        <v>0</v>
      </c>
      <c r="Y16" s="193">
        <f t="shared" ref="Y16:Y31" si="23">L16*$Y$4</f>
        <v>0</v>
      </c>
      <c r="Z16" s="194">
        <f t="shared" ref="Z16:Z31" si="24">L16*$Z$4</f>
        <v>0</v>
      </c>
      <c r="AA16" s="194">
        <f t="shared" ref="AA16:AA31" si="25">L16*$AA$4</f>
        <v>0</v>
      </c>
      <c r="AB16" s="194">
        <f t="shared" ref="AB16:AB31" si="26">L16*$AB$4</f>
        <v>0</v>
      </c>
      <c r="AC16" s="205">
        <f t="shared" ref="AC16:AC31" si="27">L16*$AC$4</f>
        <v>0</v>
      </c>
    </row>
    <row r="17" spans="1:29" ht="16.149999999999999" customHeight="1" x14ac:dyDescent="0.25">
      <c r="A17" s="231" t="s">
        <v>75</v>
      </c>
      <c r="B17" s="230"/>
      <c r="C17" s="230"/>
      <c r="D17" s="230"/>
      <c r="E17" s="230"/>
      <c r="F17" s="230"/>
      <c r="G17" s="230"/>
      <c r="H17" s="27">
        <f>7*150*25+2*35*5*25</f>
        <v>35000</v>
      </c>
      <c r="I17" s="41"/>
      <c r="J17" s="27">
        <f>7*150*25+2*35*5*25</f>
        <v>35000</v>
      </c>
      <c r="K17" s="41"/>
      <c r="L17" s="27">
        <f>7*150*25+2*35*5*25</f>
        <v>35000</v>
      </c>
      <c r="M17" s="102">
        <f>SUM(H17,J17,L17)</f>
        <v>105000</v>
      </c>
      <c r="N17" s="157"/>
      <c r="O17" s="193">
        <f>H17*$O$4</f>
        <v>5250</v>
      </c>
      <c r="P17" s="194">
        <f t="shared" si="17"/>
        <v>14000</v>
      </c>
      <c r="Q17" s="194">
        <f t="shared" si="18"/>
        <v>7000</v>
      </c>
      <c r="R17" s="194">
        <f t="shared" si="19"/>
        <v>7000</v>
      </c>
      <c r="S17" s="205">
        <f t="shared" si="20"/>
        <v>1750</v>
      </c>
      <c r="T17" s="203">
        <f t="shared" si="21"/>
        <v>5250</v>
      </c>
      <c r="U17" s="194">
        <f t="shared" si="14"/>
        <v>14000</v>
      </c>
      <c r="V17" s="194">
        <f t="shared" si="22"/>
        <v>7000</v>
      </c>
      <c r="W17" s="194">
        <f t="shared" si="15"/>
        <v>7000</v>
      </c>
      <c r="X17" s="204">
        <f t="shared" si="16"/>
        <v>1750</v>
      </c>
      <c r="Y17" s="193">
        <f t="shared" si="23"/>
        <v>5250</v>
      </c>
      <c r="Z17" s="194">
        <f t="shared" si="24"/>
        <v>14000</v>
      </c>
      <c r="AA17" s="194">
        <f t="shared" si="25"/>
        <v>7000</v>
      </c>
      <c r="AB17" s="194">
        <f t="shared" si="26"/>
        <v>7000</v>
      </c>
      <c r="AC17" s="205">
        <f t="shared" si="27"/>
        <v>1750</v>
      </c>
    </row>
    <row r="18" spans="1:29" ht="16.149999999999999" customHeight="1" x14ac:dyDescent="0.25">
      <c r="A18" s="231" t="s">
        <v>77</v>
      </c>
      <c r="B18" s="230"/>
      <c r="C18" s="230"/>
      <c r="D18" s="230"/>
      <c r="E18" s="230"/>
      <c r="F18" s="230"/>
      <c r="G18" s="230"/>
      <c r="H18" s="27">
        <f>2*150*25+2000*25</f>
        <v>57500</v>
      </c>
      <c r="I18" s="41"/>
      <c r="J18" s="27">
        <f>2*150*25+2000*25</f>
        <v>57500</v>
      </c>
      <c r="K18" s="41"/>
      <c r="L18" s="27">
        <f>2*150*25+2000*25</f>
        <v>57500</v>
      </c>
      <c r="M18" s="103">
        <f>SUM(H18,J18,L18)</f>
        <v>172500</v>
      </c>
      <c r="N18" s="158"/>
      <c r="O18" s="193">
        <f>H18*$O$4</f>
        <v>8625</v>
      </c>
      <c r="P18" s="194">
        <f t="shared" si="17"/>
        <v>23000</v>
      </c>
      <c r="Q18" s="194">
        <f t="shared" si="18"/>
        <v>11500</v>
      </c>
      <c r="R18" s="194">
        <f t="shared" si="19"/>
        <v>11500</v>
      </c>
      <c r="S18" s="205">
        <f t="shared" si="20"/>
        <v>2875</v>
      </c>
      <c r="T18" s="203">
        <f t="shared" si="21"/>
        <v>8625</v>
      </c>
      <c r="U18" s="194">
        <f t="shared" si="14"/>
        <v>23000</v>
      </c>
      <c r="V18" s="194">
        <f t="shared" si="22"/>
        <v>11500</v>
      </c>
      <c r="W18" s="194">
        <f t="shared" si="15"/>
        <v>11500</v>
      </c>
      <c r="X18" s="204">
        <f t="shared" si="16"/>
        <v>2875</v>
      </c>
      <c r="Y18" s="193">
        <f t="shared" si="23"/>
        <v>8625</v>
      </c>
      <c r="Z18" s="194">
        <f t="shared" si="24"/>
        <v>23000</v>
      </c>
      <c r="AA18" s="194">
        <f t="shared" si="25"/>
        <v>11500</v>
      </c>
      <c r="AB18" s="194">
        <f t="shared" si="26"/>
        <v>11500</v>
      </c>
      <c r="AC18" s="205">
        <f t="shared" si="27"/>
        <v>2875</v>
      </c>
    </row>
    <row r="19" spans="1:29" ht="15.75" x14ac:dyDescent="0.25">
      <c r="A19" s="30"/>
      <c r="B19" s="31"/>
      <c r="C19" s="31"/>
      <c r="D19" s="31"/>
      <c r="E19" s="31"/>
      <c r="F19" s="31"/>
      <c r="G19" s="31"/>
      <c r="H19" s="66"/>
      <c r="I19" s="65"/>
      <c r="J19" s="66"/>
      <c r="K19" s="65"/>
      <c r="L19" s="65"/>
      <c r="M19" s="32">
        <f>SUM(M17:M18)</f>
        <v>277500</v>
      </c>
      <c r="N19" s="130"/>
      <c r="O19" s="193"/>
      <c r="P19" s="194">
        <f t="shared" si="17"/>
        <v>0</v>
      </c>
      <c r="Q19" s="194">
        <f t="shared" si="18"/>
        <v>0</v>
      </c>
      <c r="R19" s="194">
        <f t="shared" si="19"/>
        <v>0</v>
      </c>
      <c r="S19" s="205">
        <f t="shared" si="20"/>
        <v>0</v>
      </c>
      <c r="T19" s="203">
        <f t="shared" si="21"/>
        <v>0</v>
      </c>
      <c r="U19" s="194">
        <f t="shared" si="14"/>
        <v>0</v>
      </c>
      <c r="V19" s="194">
        <f t="shared" si="22"/>
        <v>0</v>
      </c>
      <c r="W19" s="194">
        <f t="shared" si="15"/>
        <v>0</v>
      </c>
      <c r="X19" s="204">
        <f t="shared" si="16"/>
        <v>0</v>
      </c>
      <c r="Y19" s="193">
        <f t="shared" si="23"/>
        <v>0</v>
      </c>
      <c r="Z19" s="194">
        <f t="shared" si="24"/>
        <v>0</v>
      </c>
      <c r="AA19" s="194">
        <f t="shared" si="25"/>
        <v>0</v>
      </c>
      <c r="AB19" s="194">
        <f t="shared" si="26"/>
        <v>0</v>
      </c>
      <c r="AC19" s="205">
        <f t="shared" si="27"/>
        <v>0</v>
      </c>
    </row>
    <row r="20" spans="1:29" ht="15.75" x14ac:dyDescent="0.25">
      <c r="A20" s="244" t="s">
        <v>29</v>
      </c>
      <c r="B20" s="245"/>
      <c r="C20" s="245"/>
      <c r="D20" s="17"/>
      <c r="E20" s="41"/>
      <c r="F20" s="41"/>
      <c r="G20" s="41"/>
      <c r="H20" s="42"/>
      <c r="I20" s="59"/>
      <c r="J20" s="73"/>
      <c r="K20" s="59"/>
      <c r="L20" s="58"/>
      <c r="M20" s="53"/>
      <c r="N20" s="17"/>
      <c r="O20" s="193"/>
      <c r="P20" s="194">
        <f t="shared" si="17"/>
        <v>0</v>
      </c>
      <c r="Q20" s="194">
        <f t="shared" si="18"/>
        <v>0</v>
      </c>
      <c r="R20" s="194">
        <f t="shared" si="19"/>
        <v>0</v>
      </c>
      <c r="S20" s="205">
        <f t="shared" si="20"/>
        <v>0</v>
      </c>
      <c r="T20" s="203">
        <f t="shared" si="21"/>
        <v>0</v>
      </c>
      <c r="U20" s="194">
        <f t="shared" si="14"/>
        <v>0</v>
      </c>
      <c r="V20" s="194">
        <f t="shared" si="22"/>
        <v>0</v>
      </c>
      <c r="W20" s="194">
        <f t="shared" si="15"/>
        <v>0</v>
      </c>
      <c r="X20" s="204">
        <f t="shared" si="16"/>
        <v>0</v>
      </c>
      <c r="Y20" s="193">
        <f t="shared" si="23"/>
        <v>0</v>
      </c>
      <c r="Z20" s="194">
        <f t="shared" si="24"/>
        <v>0</v>
      </c>
      <c r="AA20" s="194">
        <f t="shared" si="25"/>
        <v>0</v>
      </c>
      <c r="AB20" s="194">
        <f t="shared" si="26"/>
        <v>0</v>
      </c>
      <c r="AC20" s="205">
        <f t="shared" si="27"/>
        <v>0</v>
      </c>
    </row>
    <row r="21" spans="1:29" ht="16.149999999999999" customHeight="1" x14ac:dyDescent="0.25">
      <c r="A21" s="264" t="s">
        <v>39</v>
      </c>
      <c r="B21" s="265"/>
      <c r="C21" s="17"/>
      <c r="D21" s="17"/>
      <c r="E21" s="41"/>
      <c r="F21" s="41"/>
      <c r="G21" s="41"/>
      <c r="H21" s="74">
        <v>48289</v>
      </c>
      <c r="I21" s="75"/>
      <c r="J21" s="74">
        <v>50</v>
      </c>
      <c r="K21" s="76"/>
      <c r="L21" s="76">
        <v>50</v>
      </c>
      <c r="M21" s="28">
        <f>SUM(H21, J21, L21)</f>
        <v>48389</v>
      </c>
      <c r="N21" s="41"/>
      <c r="O21" s="193">
        <f>H21*$O$4</f>
        <v>7243.35</v>
      </c>
      <c r="P21" s="194">
        <f t="shared" si="17"/>
        <v>19315.599999999999</v>
      </c>
      <c r="Q21" s="194">
        <f t="shared" si="18"/>
        <v>9657.7999999999993</v>
      </c>
      <c r="R21" s="194">
        <f t="shared" si="19"/>
        <v>9657.7999999999993</v>
      </c>
      <c r="S21" s="205">
        <f t="shared" si="20"/>
        <v>2414.4499999999998</v>
      </c>
      <c r="T21" s="203">
        <f t="shared" si="21"/>
        <v>7.5</v>
      </c>
      <c r="U21" s="194">
        <f t="shared" si="14"/>
        <v>20</v>
      </c>
      <c r="V21" s="194">
        <f>J21*$V$4</f>
        <v>10</v>
      </c>
      <c r="W21" s="194">
        <f t="shared" si="15"/>
        <v>10</v>
      </c>
      <c r="X21" s="204">
        <f t="shared" si="16"/>
        <v>2.5</v>
      </c>
      <c r="Y21" s="193">
        <f t="shared" si="23"/>
        <v>7.5</v>
      </c>
      <c r="Z21" s="194">
        <f t="shared" si="24"/>
        <v>20</v>
      </c>
      <c r="AA21" s="194">
        <f t="shared" si="25"/>
        <v>10</v>
      </c>
      <c r="AB21" s="194">
        <f t="shared" si="26"/>
        <v>10</v>
      </c>
      <c r="AC21" s="205">
        <f t="shared" si="27"/>
        <v>2.5</v>
      </c>
    </row>
    <row r="22" spans="1:29" ht="16.149999999999999" customHeight="1" x14ac:dyDescent="0.25">
      <c r="A22" s="264" t="s">
        <v>30</v>
      </c>
      <c r="B22" s="265"/>
      <c r="C22" s="17"/>
      <c r="D22" s="17"/>
      <c r="E22" s="41"/>
      <c r="F22" s="41"/>
      <c r="G22" s="41"/>
      <c r="H22" s="74">
        <f>SUM(E23:E26)</f>
        <v>463000</v>
      </c>
      <c r="I22" s="75"/>
      <c r="J22" s="74">
        <f>SUM(I23,I24,I25,I26)</f>
        <v>463000</v>
      </c>
      <c r="K22" s="76"/>
      <c r="L22" s="74">
        <f>SUM(K23,K24,K25,K26)</f>
        <v>463000</v>
      </c>
      <c r="M22" s="28">
        <f>SUM(H22, J22, L22)</f>
        <v>1389000</v>
      </c>
      <c r="N22" s="41"/>
      <c r="O22" s="193"/>
      <c r="P22" s="194"/>
      <c r="Q22" s="194"/>
      <c r="R22" s="194"/>
      <c r="S22" s="205"/>
      <c r="T22" s="203"/>
      <c r="U22" s="194"/>
      <c r="V22" s="194"/>
      <c r="W22" s="194"/>
      <c r="X22" s="204"/>
      <c r="Y22" s="193"/>
      <c r="Z22" s="194"/>
      <c r="AA22" s="194"/>
      <c r="AB22" s="194"/>
      <c r="AC22" s="205"/>
    </row>
    <row r="23" spans="1:29" ht="15.75" x14ac:dyDescent="0.25">
      <c r="A23" s="229" t="s">
        <v>44</v>
      </c>
      <c r="B23" s="230"/>
      <c r="C23" s="2"/>
      <c r="D23" s="2"/>
      <c r="E23" s="77">
        <v>50000</v>
      </c>
      <c r="F23" s="77"/>
      <c r="G23" s="77"/>
      <c r="H23" s="78"/>
      <c r="I23" s="77">
        <f>E23</f>
        <v>50000</v>
      </c>
      <c r="J23" s="78"/>
      <c r="K23" s="77">
        <f>I23</f>
        <v>50000</v>
      </c>
      <c r="L23" s="79"/>
      <c r="M23" s="28"/>
      <c r="N23" s="41"/>
      <c r="O23" s="193">
        <f>E23*$O$4</f>
        <v>7500</v>
      </c>
      <c r="P23" s="194">
        <f>E23*$P$4</f>
        <v>20000</v>
      </c>
      <c r="Q23" s="194">
        <f>E23*$Q$4</f>
        <v>10000</v>
      </c>
      <c r="R23" s="194">
        <f>E23*$R$4</f>
        <v>10000</v>
      </c>
      <c r="S23" s="205">
        <f>E23*$S$4</f>
        <v>2500</v>
      </c>
      <c r="T23" s="203">
        <f>I23*$T$4</f>
        <v>7500</v>
      </c>
      <c r="U23" s="203">
        <f>I23*$U$4</f>
        <v>20000</v>
      </c>
      <c r="V23" s="194">
        <f>I23*$V$4</f>
        <v>10000</v>
      </c>
      <c r="W23" s="194">
        <f>I23*$W$4</f>
        <v>10000</v>
      </c>
      <c r="X23" s="204">
        <f>I23*$X$4</f>
        <v>2500</v>
      </c>
      <c r="Y23" s="193">
        <f>K23*$Y$4</f>
        <v>7500</v>
      </c>
      <c r="Z23" s="194">
        <f>K23*$Z$4</f>
        <v>20000</v>
      </c>
      <c r="AA23" s="194">
        <f>K23*$AA$4</f>
        <v>10000</v>
      </c>
      <c r="AB23" s="194">
        <f>K23*$AB$4</f>
        <v>10000</v>
      </c>
      <c r="AC23" s="205">
        <f>K23*$AC$4</f>
        <v>2500</v>
      </c>
    </row>
    <row r="24" spans="1:29" ht="15.75" x14ac:dyDescent="0.25">
      <c r="A24" s="229" t="s">
        <v>31</v>
      </c>
      <c r="B24" s="230"/>
      <c r="C24" s="2"/>
      <c r="D24" s="2"/>
      <c r="E24" s="77">
        <v>250000</v>
      </c>
      <c r="F24" s="77"/>
      <c r="G24" s="77"/>
      <c r="H24" s="78"/>
      <c r="I24" s="77">
        <f>E24</f>
        <v>250000</v>
      </c>
      <c r="J24" s="78"/>
      <c r="K24" s="77">
        <f>I24</f>
        <v>250000</v>
      </c>
      <c r="L24" s="79"/>
      <c r="M24" s="28"/>
      <c r="N24" s="41"/>
      <c r="O24" s="193">
        <f t="shared" ref="O24:O26" si="28">E24*$O$4</f>
        <v>37500</v>
      </c>
      <c r="P24" s="194">
        <f t="shared" ref="P24:P26" si="29">E24*$P$4</f>
        <v>100000</v>
      </c>
      <c r="Q24" s="194">
        <f t="shared" ref="Q24:Q26" si="30">E24*$Q$4</f>
        <v>50000</v>
      </c>
      <c r="R24" s="194">
        <f t="shared" ref="R24:R26" si="31">E24*$R$4</f>
        <v>50000</v>
      </c>
      <c r="S24" s="205">
        <f t="shared" ref="S24:S26" si="32">E24*$S$4</f>
        <v>12500</v>
      </c>
      <c r="T24" s="203">
        <f t="shared" ref="T24:T27" si="33">I24*$T$4</f>
        <v>37500</v>
      </c>
      <c r="U24" s="203">
        <f t="shared" ref="U24:U26" si="34">I24*$U$4</f>
        <v>100000</v>
      </c>
      <c r="V24" s="194">
        <f t="shared" ref="V24:V26" si="35">I24*$V$4</f>
        <v>50000</v>
      </c>
      <c r="W24" s="194">
        <f t="shared" ref="W24:W27" si="36">I24*$W$4</f>
        <v>50000</v>
      </c>
      <c r="X24" s="204">
        <f t="shared" ref="X24:X27" si="37">I24*$X$4</f>
        <v>12500</v>
      </c>
      <c r="Y24" s="193">
        <f t="shared" ref="Y24:Y27" si="38">K24*$Y$4</f>
        <v>37500</v>
      </c>
      <c r="Z24" s="194">
        <f t="shared" ref="Z24:Z26" si="39">K24*$Z$4</f>
        <v>100000</v>
      </c>
      <c r="AA24" s="194">
        <f t="shared" ref="AA24:AA26" si="40">K24*$AA$4</f>
        <v>50000</v>
      </c>
      <c r="AB24" s="194">
        <f t="shared" ref="AB24:AB26" si="41">K24*$AB$4</f>
        <v>50000</v>
      </c>
      <c r="AC24" s="205">
        <f t="shared" ref="AC24:AC27" si="42">K24*$AC$4</f>
        <v>12500</v>
      </c>
    </row>
    <row r="25" spans="1:29" ht="15.75" x14ac:dyDescent="0.25">
      <c r="A25" s="231" t="s">
        <v>51</v>
      </c>
      <c r="B25" s="230"/>
      <c r="C25" s="2"/>
      <c r="D25" s="2"/>
      <c r="E25" s="77">
        <v>150500</v>
      </c>
      <c r="F25" s="77"/>
      <c r="G25" s="77"/>
      <c r="H25" s="78"/>
      <c r="I25" s="77">
        <v>150500</v>
      </c>
      <c r="J25" s="78"/>
      <c r="K25" s="77">
        <f>I25</f>
        <v>150500</v>
      </c>
      <c r="L25" s="79"/>
      <c r="M25" s="28"/>
      <c r="N25" s="41"/>
      <c r="O25" s="193">
        <f t="shared" si="28"/>
        <v>22575</v>
      </c>
      <c r="P25" s="194">
        <f t="shared" si="29"/>
        <v>60200</v>
      </c>
      <c r="Q25" s="194">
        <f t="shared" si="30"/>
        <v>30100</v>
      </c>
      <c r="R25" s="194">
        <f t="shared" si="31"/>
        <v>30100</v>
      </c>
      <c r="S25" s="205">
        <f t="shared" si="32"/>
        <v>7525</v>
      </c>
      <c r="T25" s="203">
        <f t="shared" si="33"/>
        <v>22575</v>
      </c>
      <c r="U25" s="203">
        <f t="shared" si="34"/>
        <v>60200</v>
      </c>
      <c r="V25" s="194">
        <f t="shared" si="35"/>
        <v>30100</v>
      </c>
      <c r="W25" s="194">
        <f t="shared" si="36"/>
        <v>30100</v>
      </c>
      <c r="X25" s="204">
        <f t="shared" si="37"/>
        <v>7525</v>
      </c>
      <c r="Y25" s="193">
        <f t="shared" si="38"/>
        <v>22575</v>
      </c>
      <c r="Z25" s="194">
        <f t="shared" si="39"/>
        <v>60200</v>
      </c>
      <c r="AA25" s="194">
        <f t="shared" si="40"/>
        <v>30100</v>
      </c>
      <c r="AB25" s="194">
        <f t="shared" si="41"/>
        <v>30100</v>
      </c>
      <c r="AC25" s="205">
        <f t="shared" si="42"/>
        <v>7525</v>
      </c>
    </row>
    <row r="26" spans="1:29" ht="15.75" x14ac:dyDescent="0.25">
      <c r="A26" s="231" t="s">
        <v>50</v>
      </c>
      <c r="B26" s="232"/>
      <c r="C26" s="2"/>
      <c r="D26" s="2"/>
      <c r="E26" s="77">
        <f>5*2500</f>
        <v>12500</v>
      </c>
      <c r="F26" s="77"/>
      <c r="G26" s="77"/>
      <c r="H26" s="78"/>
      <c r="I26" s="77">
        <f>5*2500</f>
        <v>12500</v>
      </c>
      <c r="J26" s="78"/>
      <c r="K26" s="77">
        <f>5*2500</f>
        <v>12500</v>
      </c>
      <c r="L26" s="79"/>
      <c r="M26" s="27"/>
      <c r="N26" s="41"/>
      <c r="O26" s="193">
        <f t="shared" si="28"/>
        <v>1875</v>
      </c>
      <c r="P26" s="194">
        <f t="shared" si="29"/>
        <v>5000</v>
      </c>
      <c r="Q26" s="194">
        <f t="shared" si="30"/>
        <v>2500</v>
      </c>
      <c r="R26" s="194">
        <f t="shared" si="31"/>
        <v>2500</v>
      </c>
      <c r="S26" s="205">
        <f t="shared" si="32"/>
        <v>625</v>
      </c>
      <c r="T26" s="203">
        <f t="shared" si="33"/>
        <v>1875</v>
      </c>
      <c r="U26" s="203">
        <f t="shared" si="34"/>
        <v>5000</v>
      </c>
      <c r="V26" s="194">
        <f t="shared" si="35"/>
        <v>2500</v>
      </c>
      <c r="W26" s="194">
        <f t="shared" si="36"/>
        <v>2500</v>
      </c>
      <c r="X26" s="204">
        <f t="shared" si="37"/>
        <v>625</v>
      </c>
      <c r="Y26" s="193">
        <f t="shared" si="38"/>
        <v>1875</v>
      </c>
      <c r="Z26" s="194">
        <f t="shared" si="39"/>
        <v>5000</v>
      </c>
      <c r="AA26" s="194">
        <f t="shared" si="40"/>
        <v>2500</v>
      </c>
      <c r="AB26" s="194">
        <f t="shared" si="41"/>
        <v>2500</v>
      </c>
      <c r="AC26" s="205">
        <f t="shared" si="42"/>
        <v>625</v>
      </c>
    </row>
    <row r="27" spans="1:29" ht="16.149999999999999" customHeight="1" x14ac:dyDescent="0.25">
      <c r="A27" s="266" t="s">
        <v>69</v>
      </c>
      <c r="B27" s="267"/>
      <c r="C27" s="80"/>
      <c r="D27" s="80"/>
      <c r="E27" s="77"/>
      <c r="F27" s="77"/>
      <c r="G27" s="77"/>
      <c r="H27" s="27">
        <v>0</v>
      </c>
      <c r="I27" s="77"/>
      <c r="J27" s="27">
        <v>0</v>
      </c>
      <c r="K27" s="77"/>
      <c r="L27" s="27">
        <v>0</v>
      </c>
      <c r="M27" s="27">
        <f>L27+J27+H27</f>
        <v>0</v>
      </c>
      <c r="N27" s="41"/>
      <c r="O27" s="193">
        <f>H27*$O$4</f>
        <v>0</v>
      </c>
      <c r="P27" s="194">
        <f>H27*$P$4</f>
        <v>0</v>
      </c>
      <c r="Q27" s="194">
        <f t="shared" si="18"/>
        <v>0</v>
      </c>
      <c r="R27" s="194">
        <f t="shared" si="19"/>
        <v>0</v>
      </c>
      <c r="S27" s="205">
        <f t="shared" si="20"/>
        <v>0</v>
      </c>
      <c r="T27" s="203">
        <f t="shared" si="33"/>
        <v>0</v>
      </c>
      <c r="U27" s="194">
        <f t="shared" ref="U27:U31" si="43">J27*$U$4</f>
        <v>0</v>
      </c>
      <c r="V27" s="194">
        <f t="shared" ref="V27:V31" si="44">J27*$V$4</f>
        <v>0</v>
      </c>
      <c r="W27" s="194">
        <f t="shared" si="36"/>
        <v>0</v>
      </c>
      <c r="X27" s="204">
        <f t="shared" si="37"/>
        <v>0</v>
      </c>
      <c r="Y27" s="193">
        <f t="shared" si="38"/>
        <v>0</v>
      </c>
      <c r="Z27" s="194">
        <f t="shared" si="24"/>
        <v>0</v>
      </c>
      <c r="AA27" s="194">
        <f t="shared" si="25"/>
        <v>0</v>
      </c>
      <c r="AB27" s="194">
        <f>K27*$AB$4</f>
        <v>0</v>
      </c>
      <c r="AC27" s="205">
        <f t="shared" si="42"/>
        <v>0</v>
      </c>
    </row>
    <row r="28" spans="1:29" ht="15.75" x14ac:dyDescent="0.25">
      <c r="A28" s="23" t="s">
        <v>32</v>
      </c>
      <c r="B28" s="2"/>
      <c r="C28" s="2"/>
      <c r="D28" s="2"/>
      <c r="E28" s="2"/>
      <c r="F28" s="2"/>
      <c r="G28" s="2"/>
      <c r="H28" s="27">
        <v>0</v>
      </c>
      <c r="I28" s="79"/>
      <c r="J28" s="27">
        <v>0</v>
      </c>
      <c r="K28" s="79"/>
      <c r="L28" s="27">
        <v>0</v>
      </c>
      <c r="M28" s="27">
        <v>0</v>
      </c>
      <c r="N28" s="41"/>
      <c r="O28" s="193">
        <f>H28*$O$4</f>
        <v>0</v>
      </c>
      <c r="P28" s="194">
        <f>H28*$P$4</f>
        <v>0</v>
      </c>
      <c r="Q28" s="194">
        <f t="shared" si="18"/>
        <v>0</v>
      </c>
      <c r="R28" s="194">
        <f t="shared" si="19"/>
        <v>0</v>
      </c>
      <c r="S28" s="205">
        <f t="shared" si="20"/>
        <v>0</v>
      </c>
      <c r="T28" s="203">
        <f t="shared" si="21"/>
        <v>0</v>
      </c>
      <c r="U28" s="194">
        <f t="shared" si="43"/>
        <v>0</v>
      </c>
      <c r="V28" s="194">
        <f t="shared" si="44"/>
        <v>0</v>
      </c>
      <c r="W28" s="194">
        <f t="shared" ref="W28:W31" si="45">J28*$W$4</f>
        <v>0</v>
      </c>
      <c r="X28" s="204">
        <f t="shared" si="16"/>
        <v>0</v>
      </c>
      <c r="Y28" s="193">
        <f t="shared" si="23"/>
        <v>0</v>
      </c>
      <c r="Z28" s="194">
        <f t="shared" si="24"/>
        <v>0</v>
      </c>
      <c r="AA28" s="194">
        <f t="shared" si="25"/>
        <v>0</v>
      </c>
      <c r="AB28" s="194">
        <f t="shared" si="26"/>
        <v>0</v>
      </c>
      <c r="AC28" s="205">
        <f t="shared" si="27"/>
        <v>0</v>
      </c>
    </row>
    <row r="29" spans="1:29" ht="15" customHeight="1" x14ac:dyDescent="0.25">
      <c r="A29" s="264" t="s">
        <v>33</v>
      </c>
      <c r="B29" s="265"/>
      <c r="C29" s="2"/>
      <c r="D29" s="2"/>
      <c r="E29" s="79"/>
      <c r="F29" s="79"/>
      <c r="G29" s="79"/>
      <c r="H29" s="82">
        <v>0</v>
      </c>
      <c r="I29" s="2"/>
      <c r="J29" s="83">
        <f>H29</f>
        <v>0</v>
      </c>
      <c r="K29" s="2"/>
      <c r="L29" s="84">
        <f>J29</f>
        <v>0</v>
      </c>
      <c r="M29" s="27">
        <v>0</v>
      </c>
      <c r="N29" s="41"/>
      <c r="O29" s="193">
        <f>H29*$O$4</f>
        <v>0</v>
      </c>
      <c r="P29" s="194">
        <f t="shared" si="17"/>
        <v>0</v>
      </c>
      <c r="Q29" s="194">
        <f t="shared" si="18"/>
        <v>0</v>
      </c>
      <c r="R29" s="194">
        <f t="shared" si="19"/>
        <v>0</v>
      </c>
      <c r="S29" s="205">
        <f t="shared" si="20"/>
        <v>0</v>
      </c>
      <c r="T29" s="203">
        <f t="shared" si="21"/>
        <v>0</v>
      </c>
      <c r="U29" s="194">
        <f t="shared" si="43"/>
        <v>0</v>
      </c>
      <c r="V29" s="194">
        <f t="shared" si="44"/>
        <v>0</v>
      </c>
      <c r="W29" s="194">
        <f t="shared" si="45"/>
        <v>0</v>
      </c>
      <c r="X29" s="204">
        <f t="shared" si="16"/>
        <v>0</v>
      </c>
      <c r="Y29" s="193">
        <f t="shared" si="23"/>
        <v>0</v>
      </c>
      <c r="Z29" s="194">
        <f t="shared" si="24"/>
        <v>0</v>
      </c>
      <c r="AA29" s="194">
        <f t="shared" si="25"/>
        <v>0</v>
      </c>
      <c r="AB29" s="194">
        <f t="shared" si="26"/>
        <v>0</v>
      </c>
      <c r="AC29" s="205">
        <f t="shared" si="27"/>
        <v>0</v>
      </c>
    </row>
    <row r="30" spans="1:29" ht="15.75" x14ac:dyDescent="0.25">
      <c r="A30" s="1" t="s">
        <v>76</v>
      </c>
      <c r="B30" s="2"/>
      <c r="C30" s="2"/>
      <c r="D30" s="2"/>
      <c r="E30" s="2"/>
      <c r="F30" s="2"/>
      <c r="G30" s="2"/>
      <c r="H30" s="27">
        <v>75000</v>
      </c>
      <c r="I30" s="79"/>
      <c r="J30" s="27">
        <v>75000</v>
      </c>
      <c r="K30" s="79"/>
      <c r="L30" s="27">
        <v>75000</v>
      </c>
      <c r="M30" s="28">
        <f>SUM(H30,J30,L30)</f>
        <v>225000</v>
      </c>
      <c r="N30" s="41"/>
      <c r="O30" s="193">
        <f>H30*$O$4</f>
        <v>11250</v>
      </c>
      <c r="P30" s="194">
        <f>H30*$P$4</f>
        <v>30000</v>
      </c>
      <c r="Q30" s="194">
        <f t="shared" si="18"/>
        <v>15000</v>
      </c>
      <c r="R30" s="194">
        <f t="shared" si="19"/>
        <v>15000</v>
      </c>
      <c r="S30" s="205">
        <f t="shared" si="20"/>
        <v>3750</v>
      </c>
      <c r="T30" s="203">
        <f t="shared" si="21"/>
        <v>11250</v>
      </c>
      <c r="U30" s="194">
        <f t="shared" si="43"/>
        <v>30000</v>
      </c>
      <c r="V30" s="194">
        <f t="shared" si="44"/>
        <v>15000</v>
      </c>
      <c r="W30" s="194">
        <f t="shared" si="45"/>
        <v>15000</v>
      </c>
      <c r="X30" s="204">
        <f t="shared" si="16"/>
        <v>3750</v>
      </c>
      <c r="Y30" s="193">
        <f t="shared" si="23"/>
        <v>11250</v>
      </c>
      <c r="Z30" s="194">
        <f t="shared" si="24"/>
        <v>30000</v>
      </c>
      <c r="AA30" s="194">
        <f t="shared" si="25"/>
        <v>15000</v>
      </c>
      <c r="AB30" s="194">
        <f t="shared" si="26"/>
        <v>15000</v>
      </c>
      <c r="AC30" s="205">
        <f t="shared" si="27"/>
        <v>3750</v>
      </c>
    </row>
    <row r="31" spans="1:29" ht="15.75" x14ac:dyDescent="0.25">
      <c r="A31" s="23" t="s">
        <v>34</v>
      </c>
      <c r="B31" s="2"/>
      <c r="C31" s="2"/>
      <c r="D31" s="2"/>
      <c r="E31" s="2"/>
      <c r="F31" s="2"/>
      <c r="G31" s="2"/>
      <c r="H31" s="19">
        <v>2000</v>
      </c>
      <c r="I31" s="79"/>
      <c r="J31" s="19">
        <v>2000</v>
      </c>
      <c r="K31" s="79"/>
      <c r="L31" s="19">
        <v>2000</v>
      </c>
      <c r="M31" s="26">
        <f>SUM(H31, J31, L31)</f>
        <v>6000</v>
      </c>
      <c r="N31" s="159"/>
      <c r="O31" s="206">
        <f>H31*$O$4</f>
        <v>300</v>
      </c>
      <c r="P31" s="207">
        <f>H31*$P$4</f>
        <v>800</v>
      </c>
      <c r="Q31" s="207">
        <f t="shared" si="18"/>
        <v>400</v>
      </c>
      <c r="R31" s="207">
        <f t="shared" si="19"/>
        <v>400</v>
      </c>
      <c r="S31" s="208">
        <f t="shared" si="20"/>
        <v>100</v>
      </c>
      <c r="T31" s="203">
        <f>J31*$T$4</f>
        <v>300</v>
      </c>
      <c r="U31" s="194">
        <f t="shared" si="43"/>
        <v>800</v>
      </c>
      <c r="V31" s="194">
        <f t="shared" si="44"/>
        <v>400</v>
      </c>
      <c r="W31" s="194">
        <f t="shared" si="45"/>
        <v>400</v>
      </c>
      <c r="X31" s="204">
        <f t="shared" si="16"/>
        <v>100</v>
      </c>
      <c r="Y31" s="193">
        <f t="shared" si="23"/>
        <v>300</v>
      </c>
      <c r="Z31" s="194">
        <f t="shared" si="24"/>
        <v>800</v>
      </c>
      <c r="AA31" s="194">
        <f t="shared" si="25"/>
        <v>400</v>
      </c>
      <c r="AB31" s="194">
        <f t="shared" si="26"/>
        <v>400</v>
      </c>
      <c r="AC31" s="205">
        <f t="shared" si="27"/>
        <v>100</v>
      </c>
    </row>
    <row r="32" spans="1:29" ht="13.15" customHeight="1" x14ac:dyDescent="0.25">
      <c r="A32" s="257" t="s">
        <v>5</v>
      </c>
      <c r="B32" s="258"/>
      <c r="C32" s="85"/>
      <c r="D32" s="85"/>
      <c r="E32" s="86"/>
      <c r="F32" s="86"/>
      <c r="G32" s="86"/>
      <c r="H32" s="87"/>
      <c r="I32" s="88"/>
      <c r="J32" s="89"/>
      <c r="K32" s="88"/>
      <c r="L32" s="88"/>
      <c r="M32" s="90">
        <f>SUM(M13, M15, M19,M21,M22,M27,M28,M29,M30,M31)</f>
        <v>2986112</v>
      </c>
      <c r="N32" s="160"/>
      <c r="O32" s="209">
        <f t="shared" ref="O32:AC32" si="46">SUM(O7:O31)</f>
        <v>197801.35</v>
      </c>
      <c r="P32" s="210">
        <f t="shared" si="46"/>
        <v>423303.6</v>
      </c>
      <c r="Q32" s="210">
        <f t="shared" si="46"/>
        <v>242901.8</v>
      </c>
      <c r="R32" s="210">
        <f t="shared" si="46"/>
        <v>242901.8</v>
      </c>
      <c r="S32" s="211">
        <f t="shared" si="46"/>
        <v>45100.45</v>
      </c>
      <c r="T32" s="209">
        <f t="shared" si="46"/>
        <v>156503</v>
      </c>
      <c r="U32" s="210">
        <f t="shared" si="46"/>
        <v>365258</v>
      </c>
      <c r="V32" s="210">
        <f t="shared" si="46"/>
        <v>198254</v>
      </c>
      <c r="W32" s="210">
        <f t="shared" si="46"/>
        <v>198254</v>
      </c>
      <c r="X32" s="211">
        <f t="shared" si="46"/>
        <v>41751</v>
      </c>
      <c r="Y32" s="209">
        <f t="shared" si="46"/>
        <v>137362.45000000001</v>
      </c>
      <c r="Z32" s="210">
        <f t="shared" si="46"/>
        <v>340258.2</v>
      </c>
      <c r="AA32" s="210">
        <f t="shared" si="46"/>
        <v>177941.6</v>
      </c>
      <c r="AB32" s="210">
        <f t="shared" si="46"/>
        <v>177941.6</v>
      </c>
      <c r="AC32" s="211">
        <f t="shared" si="46"/>
        <v>40579.15</v>
      </c>
    </row>
    <row r="33" spans="1:29" ht="19.899999999999999" customHeight="1" x14ac:dyDescent="0.25">
      <c r="A33" s="259" t="s">
        <v>35</v>
      </c>
      <c r="B33" s="260"/>
      <c r="C33" s="2"/>
      <c r="D33" s="2"/>
      <c r="E33" s="2"/>
      <c r="F33" s="2"/>
      <c r="G33" s="2"/>
      <c r="H33" s="78"/>
      <c r="I33" s="91"/>
      <c r="J33" s="92"/>
      <c r="K33" s="91"/>
      <c r="L33" s="91"/>
      <c r="M33" s="93">
        <f>M32*0.08</f>
        <v>238888.95999999999</v>
      </c>
      <c r="N33" s="161"/>
      <c r="O33" s="212">
        <f t="shared" ref="O33:AC33" si="47">O32*0.08</f>
        <v>15824.11</v>
      </c>
      <c r="P33" s="213">
        <f t="shared" si="47"/>
        <v>33864.29</v>
      </c>
      <c r="Q33" s="213">
        <f t="shared" si="47"/>
        <v>19432.14</v>
      </c>
      <c r="R33" s="213">
        <f t="shared" si="47"/>
        <v>19432.14</v>
      </c>
      <c r="S33" s="214">
        <f t="shared" si="47"/>
        <v>3608.04</v>
      </c>
      <c r="T33" s="212">
        <f t="shared" si="47"/>
        <v>12520.24</v>
      </c>
      <c r="U33" s="213">
        <f t="shared" si="47"/>
        <v>29220.639999999999</v>
      </c>
      <c r="V33" s="213">
        <f t="shared" si="47"/>
        <v>15860.32</v>
      </c>
      <c r="W33" s="213">
        <f t="shared" si="47"/>
        <v>15860.32</v>
      </c>
      <c r="X33" s="214">
        <f t="shared" si="47"/>
        <v>3340.08</v>
      </c>
      <c r="Y33" s="212">
        <f t="shared" si="47"/>
        <v>10989</v>
      </c>
      <c r="Z33" s="213">
        <f t="shared" si="47"/>
        <v>27220.66</v>
      </c>
      <c r="AA33" s="213">
        <f t="shared" si="47"/>
        <v>14235.33</v>
      </c>
      <c r="AB33" s="213">
        <f t="shared" si="47"/>
        <v>14235.33</v>
      </c>
      <c r="AC33" s="214">
        <f t="shared" si="47"/>
        <v>3246.33</v>
      </c>
    </row>
    <row r="34" spans="1:29" ht="19.899999999999999" customHeight="1" x14ac:dyDescent="0.25">
      <c r="A34" s="261" t="s">
        <v>70</v>
      </c>
      <c r="B34" s="262"/>
      <c r="C34" s="94"/>
      <c r="D34" s="94"/>
      <c r="E34" s="94"/>
      <c r="F34" s="94"/>
      <c r="G34" s="94"/>
      <c r="H34" s="95"/>
      <c r="I34" s="96"/>
      <c r="J34" s="97"/>
      <c r="K34" s="96"/>
      <c r="L34" s="96"/>
      <c r="M34" s="98">
        <f>SUM(M32,M33)</f>
        <v>3225000.96</v>
      </c>
      <c r="N34" s="162"/>
      <c r="O34" s="215">
        <f t="shared" ref="O34:AC34" si="48">SUM(O32:O33)</f>
        <v>213625.46</v>
      </c>
      <c r="P34" s="216">
        <f t="shared" si="48"/>
        <v>457167.89</v>
      </c>
      <c r="Q34" s="216">
        <f t="shared" si="48"/>
        <v>262333.94</v>
      </c>
      <c r="R34" s="216">
        <f t="shared" si="48"/>
        <v>262333.94</v>
      </c>
      <c r="S34" s="217">
        <f t="shared" si="48"/>
        <v>48708.49</v>
      </c>
      <c r="T34" s="215">
        <f t="shared" si="48"/>
        <v>169023.24</v>
      </c>
      <c r="U34" s="216">
        <f t="shared" si="48"/>
        <v>394478.64</v>
      </c>
      <c r="V34" s="216">
        <f t="shared" si="48"/>
        <v>214114.32</v>
      </c>
      <c r="W34" s="216">
        <f t="shared" si="48"/>
        <v>214114.32</v>
      </c>
      <c r="X34" s="217">
        <f t="shared" si="48"/>
        <v>45091.08</v>
      </c>
      <c r="Y34" s="215">
        <f t="shared" si="48"/>
        <v>148351.45000000001</v>
      </c>
      <c r="Z34" s="216">
        <f t="shared" si="48"/>
        <v>367478.86</v>
      </c>
      <c r="AA34" s="216">
        <f t="shared" si="48"/>
        <v>192176.93</v>
      </c>
      <c r="AB34" s="216">
        <f t="shared" si="48"/>
        <v>192176.93</v>
      </c>
      <c r="AC34" s="217">
        <f t="shared" si="48"/>
        <v>43825.48</v>
      </c>
    </row>
    <row r="35" spans="1:29" ht="15.75" x14ac:dyDescent="0.25">
      <c r="A35" s="7"/>
      <c r="B35" s="2"/>
      <c r="C35" s="2"/>
      <c r="D35" s="2"/>
      <c r="E35" s="2"/>
      <c r="F35" s="2"/>
      <c r="G35" s="2"/>
      <c r="H35" s="2"/>
      <c r="I35" s="2"/>
      <c r="J35" s="2"/>
      <c r="K35" s="263" t="s">
        <v>71</v>
      </c>
      <c r="L35" s="263"/>
      <c r="M35" s="220">
        <v>3225000</v>
      </c>
      <c r="N35" s="2"/>
      <c r="O35" s="192">
        <f>O34/SUM($O$34:$S$34)</f>
        <v>0.17169999999999999</v>
      </c>
      <c r="P35" s="192">
        <f t="shared" ref="P35:S35" si="49">P34/SUM($O$34:$S$34)</f>
        <v>0.3674</v>
      </c>
      <c r="Q35" s="192">
        <f t="shared" si="49"/>
        <v>0.2109</v>
      </c>
      <c r="R35" s="192">
        <f t="shared" si="49"/>
        <v>0.2109</v>
      </c>
      <c r="S35" s="192">
        <f t="shared" si="49"/>
        <v>3.9100000000000003E-2</v>
      </c>
      <c r="T35" s="192">
        <f>T34/SUM($T$34:$X$34)</f>
        <v>0.16300000000000001</v>
      </c>
      <c r="U35" s="192">
        <f t="shared" ref="U35:X35" si="50">U34/SUM($T$34:$X$34)</f>
        <v>0.3805</v>
      </c>
      <c r="V35" s="192">
        <f t="shared" si="50"/>
        <v>0.20649999999999999</v>
      </c>
      <c r="W35" s="192">
        <f t="shared" si="50"/>
        <v>0.20649999999999999</v>
      </c>
      <c r="X35" s="192">
        <f t="shared" si="50"/>
        <v>4.3499999999999997E-2</v>
      </c>
      <c r="Y35" s="192">
        <f>Y34/SUM($Y$34:$AC$34)</f>
        <v>0.15720000000000001</v>
      </c>
      <c r="Z35" s="192">
        <f t="shared" ref="Z35:AC35" si="51">Z34/SUM($Y$34:$AC$34)</f>
        <v>0.38929999999999998</v>
      </c>
      <c r="AA35" s="192">
        <f t="shared" si="51"/>
        <v>0.2036</v>
      </c>
      <c r="AB35" s="192">
        <f t="shared" si="51"/>
        <v>0.2036</v>
      </c>
      <c r="AC35" s="192">
        <f t="shared" si="51"/>
        <v>4.6399999999999997E-2</v>
      </c>
    </row>
    <row r="36" spans="1:29" ht="15.75" x14ac:dyDescent="0.25">
      <c r="A36" s="7"/>
      <c r="B36" s="2"/>
      <c r="C36" s="2"/>
      <c r="D36" s="2"/>
      <c r="E36" s="2"/>
      <c r="F36" s="2"/>
      <c r="G36" s="2"/>
      <c r="H36" s="2"/>
      <c r="I36" s="2"/>
      <c r="J36" s="2"/>
      <c r="K36" s="2"/>
      <c r="L36" s="2"/>
      <c r="N36" s="2"/>
      <c r="O36" s="174"/>
      <c r="P36" s="195"/>
      <c r="Q36" s="176"/>
      <c r="R36" s="176"/>
      <c r="S36" s="176"/>
      <c r="T36" s="174"/>
      <c r="U36" s="195"/>
      <c r="V36" s="176"/>
      <c r="W36" s="176"/>
      <c r="X36" s="176"/>
      <c r="Y36" s="174"/>
      <c r="Z36" s="195"/>
      <c r="AA36" s="176"/>
      <c r="AB36" s="176"/>
      <c r="AC36" s="176"/>
    </row>
    <row r="37" spans="1:29" ht="15.75" x14ac:dyDescent="0.25">
      <c r="A37" s="7"/>
      <c r="B37" s="2"/>
      <c r="C37" s="2"/>
      <c r="D37" s="2"/>
      <c r="E37" s="2"/>
      <c r="F37" s="2"/>
      <c r="G37" s="2"/>
      <c r="H37" s="2"/>
      <c r="I37" s="2"/>
      <c r="J37" s="2"/>
      <c r="K37" s="2"/>
      <c r="L37" s="2"/>
      <c r="M37" s="99"/>
      <c r="N37" s="99"/>
      <c r="O37" s="174"/>
      <c r="P37" s="178"/>
      <c r="Q37" s="195"/>
      <c r="R37" s="176"/>
      <c r="S37" s="219" t="b">
        <f>IF(SUM(O32:S32)=SUM(H13:H31),TRUE,FALSE)</f>
        <v>1</v>
      </c>
      <c r="T37" s="174"/>
      <c r="U37" s="178"/>
      <c r="V37" s="176"/>
      <c r="W37" s="176"/>
      <c r="X37" s="219" t="b">
        <f>IF(SUM(T32:X32)=SUM(J13:J31),TRUE,FALSE)</f>
        <v>1</v>
      </c>
      <c r="Y37" s="174"/>
      <c r="Z37" s="178"/>
      <c r="AA37" s="176"/>
      <c r="AB37" s="176"/>
      <c r="AC37" s="219" t="b">
        <f>IF(SUM(Y32:AC32)=SUM(L13:L31),TRUE,FALSE)</f>
        <v>1</v>
      </c>
    </row>
    <row r="41" spans="1:29" ht="15.75" x14ac:dyDescent="0.25">
      <c r="A41" s="168" t="s">
        <v>9</v>
      </c>
      <c r="B41" s="54"/>
      <c r="C41" s="106"/>
      <c r="D41" s="25"/>
      <c r="E41" s="55"/>
      <c r="F41" s="55"/>
      <c r="G41" s="128">
        <f>F49+F57+F59</f>
        <v>136845</v>
      </c>
      <c r="H41" s="129"/>
      <c r="I41" s="57"/>
      <c r="J41" s="128">
        <f>I49+I57+I59</f>
        <v>136845</v>
      </c>
      <c r="K41" s="129"/>
      <c r="L41" s="57"/>
      <c r="M41" s="128">
        <f>L49+L57+L59</f>
        <v>136845</v>
      </c>
      <c r="N41" s="59">
        <f>SUM(G41:M41)</f>
        <v>410535</v>
      </c>
    </row>
    <row r="42" spans="1:29" ht="15.75" x14ac:dyDescent="0.25">
      <c r="A42" s="169"/>
      <c r="B42" s="43"/>
      <c r="C42" s="13"/>
      <c r="D42" s="17"/>
      <c r="E42" s="41"/>
      <c r="F42" s="41"/>
      <c r="G42" s="131"/>
      <c r="H42" s="130"/>
      <c r="I42" s="59"/>
      <c r="J42" s="131"/>
      <c r="K42" s="130"/>
      <c r="L42" s="59"/>
      <c r="M42" s="131"/>
      <c r="N42" s="163"/>
    </row>
    <row r="43" spans="1:29" ht="15.75" x14ac:dyDescent="0.25">
      <c r="A43" s="233" t="s">
        <v>40</v>
      </c>
      <c r="B43" s="233"/>
      <c r="C43" s="233"/>
      <c r="D43" s="233"/>
      <c r="E43" s="233"/>
      <c r="F43" s="233"/>
      <c r="G43" s="132"/>
      <c r="H43" s="133"/>
      <c r="I43" s="134"/>
      <c r="J43" s="132"/>
      <c r="K43" s="133"/>
      <c r="L43" s="134"/>
      <c r="M43" s="5"/>
      <c r="N43" s="164"/>
    </row>
    <row r="44" spans="1:29" ht="15.75" x14ac:dyDescent="0.25">
      <c r="A44" s="2"/>
      <c r="B44" s="107" t="s">
        <v>14</v>
      </c>
      <c r="C44" s="107" t="s">
        <v>3</v>
      </c>
      <c r="D44" s="108" t="s">
        <v>15</v>
      </c>
      <c r="E44" s="109" t="s">
        <v>16</v>
      </c>
      <c r="F44" s="110" t="s">
        <v>4</v>
      </c>
      <c r="G44" s="135"/>
      <c r="H44" s="136"/>
      <c r="I44" s="41"/>
      <c r="J44" s="135"/>
      <c r="K44" s="136"/>
      <c r="L44" s="41"/>
      <c r="M44" s="135"/>
      <c r="N44" s="165"/>
    </row>
    <row r="45" spans="1:29" ht="15.75" x14ac:dyDescent="0.25">
      <c r="A45" s="16"/>
      <c r="B45" s="111">
        <v>31</v>
      </c>
      <c r="C45" s="111">
        <v>2</v>
      </c>
      <c r="D45" s="69">
        <v>2</v>
      </c>
      <c r="E45" s="112"/>
      <c r="F45" s="43"/>
      <c r="G45" s="137"/>
      <c r="H45" s="138"/>
      <c r="I45" s="104"/>
      <c r="J45" s="137"/>
      <c r="K45" s="138"/>
      <c r="L45" s="104"/>
      <c r="M45" s="137"/>
      <c r="N45" s="166"/>
    </row>
    <row r="46" spans="1:29" ht="31.5" x14ac:dyDescent="0.25">
      <c r="A46" s="14" t="s">
        <v>17</v>
      </c>
      <c r="B46" s="113"/>
      <c r="C46" s="113"/>
      <c r="D46" s="114"/>
      <c r="E46" s="115">
        <v>600</v>
      </c>
      <c r="F46" s="116">
        <f>E46*B45*C45</f>
        <v>37200</v>
      </c>
      <c r="G46" s="139"/>
      <c r="H46" s="140"/>
      <c r="I46" s="116">
        <f>F46</f>
        <v>37200</v>
      </c>
      <c r="J46" s="139"/>
      <c r="K46" s="140"/>
      <c r="L46" s="116">
        <f>F46</f>
        <v>37200</v>
      </c>
      <c r="M46" s="139"/>
      <c r="N46" s="167"/>
    </row>
    <row r="47" spans="1:29" ht="31.5" x14ac:dyDescent="0.25">
      <c r="A47" s="14" t="s">
        <v>18</v>
      </c>
      <c r="B47" s="113"/>
      <c r="C47" s="113"/>
      <c r="D47" s="114"/>
      <c r="E47" s="115">
        <f>60+250</f>
        <v>310</v>
      </c>
      <c r="F47" s="116">
        <f>E47*B45*C45*D45</f>
        <v>38440</v>
      </c>
      <c r="G47" s="139"/>
      <c r="H47" s="140"/>
      <c r="I47" s="116">
        <f>F47</f>
        <v>38440</v>
      </c>
      <c r="J47" s="139"/>
      <c r="K47" s="140"/>
      <c r="L47" s="116">
        <f>F47</f>
        <v>38440</v>
      </c>
      <c r="M47" s="139"/>
      <c r="N47" s="167"/>
    </row>
    <row r="48" spans="1:29" ht="47.25" x14ac:dyDescent="0.25">
      <c r="A48" s="14" t="s">
        <v>19</v>
      </c>
      <c r="B48" s="113"/>
      <c r="C48" s="113"/>
      <c r="D48" s="117"/>
      <c r="E48" s="118">
        <v>75</v>
      </c>
      <c r="F48" s="116">
        <f>E48*C45*B45</f>
        <v>4650</v>
      </c>
      <c r="G48" s="139"/>
      <c r="H48" s="140"/>
      <c r="I48" s="116">
        <f>F48:F62</f>
        <v>4650</v>
      </c>
      <c r="J48" s="139"/>
      <c r="K48" s="140"/>
      <c r="L48" s="116">
        <f>F48</f>
        <v>4650</v>
      </c>
      <c r="M48" s="139"/>
      <c r="N48" s="167"/>
    </row>
    <row r="49" spans="1:14" ht="15.75" x14ac:dyDescent="0.25">
      <c r="A49" s="119" t="s">
        <v>20</v>
      </c>
      <c r="B49" s="120"/>
      <c r="C49" s="120"/>
      <c r="D49" s="120"/>
      <c r="E49" s="121"/>
      <c r="F49" s="122">
        <f>SUM(F46:F48)</f>
        <v>80290</v>
      </c>
      <c r="G49" s="5"/>
      <c r="H49" s="79"/>
      <c r="I49" s="122">
        <f>SUM(I46:I48)</f>
        <v>80290</v>
      </c>
      <c r="J49" s="5"/>
      <c r="K49" s="2"/>
      <c r="L49" s="122">
        <f>SUM(L46:L48)</f>
        <v>80290</v>
      </c>
      <c r="M49" s="5"/>
      <c r="N49" s="164"/>
    </row>
    <row r="50" spans="1:14" ht="15.75" x14ac:dyDescent="0.25">
      <c r="A50" s="233" t="s">
        <v>41</v>
      </c>
      <c r="B50" s="233"/>
      <c r="C50" s="233"/>
      <c r="D50" s="233"/>
      <c r="E50" s="233"/>
      <c r="F50" s="233"/>
      <c r="G50" s="132"/>
      <c r="H50" s="133"/>
      <c r="I50" s="134"/>
      <c r="J50" s="132"/>
      <c r="K50" s="133"/>
      <c r="L50" s="134"/>
      <c r="M50" s="5"/>
      <c r="N50" s="164"/>
    </row>
    <row r="51" spans="1:14" ht="15.75" x14ac:dyDescent="0.25">
      <c r="A51" s="2"/>
      <c r="B51" s="107" t="s">
        <v>14</v>
      </c>
      <c r="C51" s="107" t="s">
        <v>3</v>
      </c>
      <c r="D51" s="108" t="s">
        <v>15</v>
      </c>
      <c r="E51" s="109" t="s">
        <v>16</v>
      </c>
      <c r="F51" s="110" t="s">
        <v>4</v>
      </c>
      <c r="G51" s="135"/>
      <c r="H51" s="136"/>
      <c r="I51" s="41"/>
      <c r="J51" s="135"/>
      <c r="K51" s="136"/>
      <c r="L51" s="41"/>
      <c r="M51" s="135"/>
      <c r="N51" s="165"/>
    </row>
    <row r="52" spans="1:14" ht="15.75" x14ac:dyDescent="0.25">
      <c r="A52" s="16"/>
      <c r="B52" s="111">
        <v>31</v>
      </c>
      <c r="C52" s="111">
        <v>1</v>
      </c>
      <c r="D52" s="69">
        <v>3.5</v>
      </c>
      <c r="E52" s="112"/>
      <c r="F52" s="43"/>
      <c r="G52" s="137"/>
      <c r="H52" s="138"/>
      <c r="I52" s="104"/>
      <c r="J52" s="137"/>
      <c r="K52" s="138"/>
      <c r="L52" s="104"/>
      <c r="M52" s="137"/>
      <c r="N52" s="166"/>
    </row>
    <row r="53" spans="1:14" ht="31.5" x14ac:dyDescent="0.25">
      <c r="A53" s="14" t="s">
        <v>17</v>
      </c>
      <c r="B53" s="113"/>
      <c r="C53" s="113"/>
      <c r="D53" s="114"/>
      <c r="E53" s="115">
        <v>500</v>
      </c>
      <c r="F53" s="116">
        <f>E53*B52*C52</f>
        <v>15500</v>
      </c>
      <c r="G53" s="139"/>
      <c r="H53" s="140"/>
      <c r="I53" s="116">
        <f>F53</f>
        <v>15500</v>
      </c>
      <c r="J53" s="139"/>
      <c r="K53" s="140"/>
      <c r="L53" s="116">
        <f>F53</f>
        <v>15500</v>
      </c>
      <c r="M53" s="139"/>
      <c r="N53" s="167"/>
    </row>
    <row r="54" spans="1:14" ht="15.75" x14ac:dyDescent="0.25">
      <c r="A54" s="14" t="s">
        <v>21</v>
      </c>
      <c r="B54" s="113"/>
      <c r="C54" s="113"/>
      <c r="D54" s="114"/>
      <c r="E54" s="115">
        <v>300</v>
      </c>
      <c r="F54" s="116">
        <f>E54*B52</f>
        <v>9300</v>
      </c>
      <c r="G54" s="139"/>
      <c r="H54" s="140"/>
      <c r="I54" s="116">
        <f>F54</f>
        <v>9300</v>
      </c>
      <c r="J54" s="139"/>
      <c r="K54" s="140"/>
      <c r="L54" s="116">
        <f>F54</f>
        <v>9300</v>
      </c>
      <c r="M54" s="139"/>
      <c r="N54" s="174" t="s">
        <v>13</v>
      </c>
    </row>
    <row r="55" spans="1:14" ht="31.5" x14ac:dyDescent="0.25">
      <c r="A55" s="14" t="s">
        <v>18</v>
      </c>
      <c r="B55" s="113"/>
      <c r="C55" s="113"/>
      <c r="D55" s="114"/>
      <c r="E55" s="115">
        <f>60+200</f>
        <v>260</v>
      </c>
      <c r="F55" s="116">
        <f>E55*B52*C52*D52</f>
        <v>28210</v>
      </c>
      <c r="G55" s="139"/>
      <c r="H55" s="140"/>
      <c r="I55" s="116">
        <f>F55</f>
        <v>28210</v>
      </c>
      <c r="J55" s="139"/>
      <c r="K55" s="140"/>
      <c r="L55" s="116">
        <f>F55</f>
        <v>28210</v>
      </c>
      <c r="M55" s="139"/>
      <c r="N55" s="177">
        <v>60</v>
      </c>
    </row>
    <row r="56" spans="1:14" ht="47.25" x14ac:dyDescent="0.25">
      <c r="A56" s="14" t="s">
        <v>19</v>
      </c>
      <c r="B56" s="113"/>
      <c r="C56" s="113"/>
      <c r="D56" s="117"/>
      <c r="E56" s="118">
        <v>75</v>
      </c>
      <c r="F56" s="116">
        <f>E56*C52*B52</f>
        <v>2325</v>
      </c>
      <c r="G56" s="139"/>
      <c r="H56" s="140"/>
      <c r="I56" s="116">
        <f>F56</f>
        <v>2325</v>
      </c>
      <c r="J56" s="139"/>
      <c r="K56" s="140"/>
      <c r="L56" s="116">
        <f>F56</f>
        <v>2325</v>
      </c>
      <c r="M56" s="139"/>
      <c r="N56" s="174"/>
    </row>
    <row r="57" spans="1:14" ht="15.75" x14ac:dyDescent="0.25">
      <c r="A57" s="119" t="s">
        <v>20</v>
      </c>
      <c r="B57" s="120"/>
      <c r="C57" s="120"/>
      <c r="D57" s="120"/>
      <c r="E57" s="121"/>
      <c r="F57" s="122">
        <f>SUM(F53:F56)</f>
        <v>55335</v>
      </c>
      <c r="G57" s="5"/>
      <c r="H57" s="79"/>
      <c r="I57" s="122">
        <f>SUM(I53:I56)</f>
        <v>55335</v>
      </c>
      <c r="J57" s="5"/>
      <c r="K57" s="2"/>
      <c r="L57" s="122">
        <f>SUM(L53:L56)</f>
        <v>55335</v>
      </c>
      <c r="M57" s="5"/>
      <c r="N57" s="174"/>
    </row>
    <row r="58" spans="1:14" ht="15.75" x14ac:dyDescent="0.25">
      <c r="A58" s="227" t="s">
        <v>42</v>
      </c>
      <c r="B58" s="228"/>
      <c r="C58" s="123"/>
      <c r="D58" s="124" t="s">
        <v>3</v>
      </c>
      <c r="E58" s="125" t="s">
        <v>23</v>
      </c>
      <c r="F58" s="43"/>
      <c r="G58" s="135"/>
      <c r="H58" s="136"/>
      <c r="I58" s="81"/>
      <c r="J58" s="135"/>
      <c r="K58" s="141"/>
      <c r="L58" s="81"/>
      <c r="M58" s="135"/>
      <c r="N58" s="189" t="s">
        <v>0</v>
      </c>
    </row>
    <row r="59" spans="1:14" ht="15.75" x14ac:dyDescent="0.25">
      <c r="A59" s="4"/>
      <c r="B59" s="60"/>
      <c r="C59" s="126"/>
      <c r="D59" s="61">
        <f>3*12</f>
        <v>36</v>
      </c>
      <c r="E59" s="127">
        <v>60</v>
      </c>
      <c r="F59" s="65">
        <f>D59*E59*N59</f>
        <v>1220</v>
      </c>
      <c r="G59" s="142"/>
      <c r="H59" s="143"/>
      <c r="I59" s="65">
        <f>F59</f>
        <v>1220</v>
      </c>
      <c r="J59" s="142"/>
      <c r="K59" s="144"/>
      <c r="L59" s="65">
        <f>I59</f>
        <v>1220</v>
      </c>
      <c r="M59" s="142"/>
      <c r="N59" s="190">
        <v>0.56499999999999995</v>
      </c>
    </row>
  </sheetData>
  <mergeCells count="31">
    <mergeCell ref="A18:G18"/>
    <mergeCell ref="A20:C20"/>
    <mergeCell ref="A23:B23"/>
    <mergeCell ref="A24:B24"/>
    <mergeCell ref="A25:B25"/>
    <mergeCell ref="A21:B21"/>
    <mergeCell ref="A22:B22"/>
    <mergeCell ref="A16:B16"/>
    <mergeCell ref="A1:N1"/>
    <mergeCell ref="A2:M2"/>
    <mergeCell ref="A3:M3"/>
    <mergeCell ref="A58:B58"/>
    <mergeCell ref="A27:B27"/>
    <mergeCell ref="A29:B29"/>
    <mergeCell ref="A33:B33"/>
    <mergeCell ref="A32:B32"/>
    <mergeCell ref="A34:B34"/>
    <mergeCell ref="K35:L35"/>
    <mergeCell ref="A4:B4"/>
    <mergeCell ref="A26:B26"/>
    <mergeCell ref="A43:F43"/>
    <mergeCell ref="A50:F50"/>
    <mergeCell ref="A17:G17"/>
    <mergeCell ref="O3:S3"/>
    <mergeCell ref="T3:X3"/>
    <mergeCell ref="Y3:AC3"/>
    <mergeCell ref="A6:B6"/>
    <mergeCell ref="A15:C15"/>
    <mergeCell ref="C4:H4"/>
    <mergeCell ref="I4:J4"/>
    <mergeCell ref="K4: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59"/>
  <sheetViews>
    <sheetView zoomScaleNormal="100" zoomScalePageLayoutView="115" workbookViewId="0">
      <selection activeCell="C6" sqref="C6"/>
    </sheetView>
  </sheetViews>
  <sheetFormatPr defaultColWidth="10.625" defaultRowHeight="15.75" x14ac:dyDescent="0.25"/>
  <cols>
    <col min="1" max="1" width="15.5" style="7" customWidth="1"/>
    <col min="2" max="2" width="28.875" style="2" customWidth="1"/>
    <col min="3" max="4" width="8" style="2" customWidth="1"/>
    <col min="5" max="5" width="9.125" style="2" customWidth="1"/>
    <col min="6" max="6" width="9" style="2" customWidth="1"/>
    <col min="7" max="7" width="12.125" style="2" customWidth="1"/>
    <col min="8" max="8" width="11.375" style="2" customWidth="1"/>
    <col min="9" max="9" width="10" style="2" customWidth="1"/>
    <col min="10" max="10" width="11.375" style="2" customWidth="1"/>
    <col min="11" max="11" width="11.5" style="2" customWidth="1"/>
    <col min="12" max="12" width="11.375" style="2" customWidth="1"/>
    <col min="13" max="14" width="13.375" style="2" customWidth="1"/>
    <col min="15" max="15" width="16" style="174" customWidth="1"/>
    <col min="16" max="17" width="12.375" style="176" customWidth="1"/>
    <col min="18" max="18" width="11.375" style="176" customWidth="1"/>
    <col min="19" max="19" width="11.375" style="176" bestFit="1" customWidth="1"/>
    <col min="20" max="20" width="16" style="174" customWidth="1"/>
    <col min="21" max="21" width="12.375" style="176" customWidth="1"/>
    <col min="22" max="22" width="10.875" style="176" customWidth="1"/>
    <col min="23" max="23" width="11.375" style="176" customWidth="1"/>
    <col min="24" max="24" width="11.375" style="176" bestFit="1" customWidth="1"/>
    <col min="25" max="25" width="16" style="174" customWidth="1"/>
    <col min="26" max="26" width="12.375" style="176" customWidth="1"/>
    <col min="27" max="27" width="10.875" style="176" customWidth="1"/>
    <col min="28" max="28" width="11.375" style="176" customWidth="1"/>
    <col min="29" max="29" width="11.375" style="176" bestFit="1" customWidth="1"/>
    <col min="30" max="16384" width="10.625" style="2"/>
  </cols>
  <sheetData>
    <row r="1" spans="1:29" ht="84" customHeight="1" x14ac:dyDescent="0.25">
      <c r="A1" s="255" t="s">
        <v>85</v>
      </c>
      <c r="B1" s="256"/>
      <c r="C1" s="256"/>
      <c r="D1" s="256"/>
      <c r="E1" s="256"/>
      <c r="F1" s="256"/>
      <c r="G1" s="256"/>
      <c r="H1" s="256"/>
      <c r="I1" s="256"/>
      <c r="J1" s="256"/>
      <c r="K1" s="256"/>
      <c r="L1" s="256"/>
      <c r="M1" s="256"/>
      <c r="N1" s="256"/>
    </row>
    <row r="2" spans="1:29" s="34" customFormat="1" ht="42" customHeight="1" x14ac:dyDescent="0.2">
      <c r="A2" s="268" t="s">
        <v>86</v>
      </c>
      <c r="B2" s="269"/>
      <c r="C2" s="269"/>
      <c r="D2" s="269"/>
      <c r="E2" s="269"/>
      <c r="F2" s="269"/>
      <c r="G2" s="269"/>
      <c r="H2" s="269"/>
      <c r="I2" s="269"/>
      <c r="J2" s="269"/>
      <c r="K2" s="269"/>
      <c r="L2" s="269"/>
      <c r="M2" s="269"/>
      <c r="N2" s="145"/>
      <c r="O2" s="196" t="s">
        <v>52</v>
      </c>
      <c r="P2" s="197" t="s">
        <v>53</v>
      </c>
      <c r="Q2" s="197" t="s">
        <v>54</v>
      </c>
      <c r="R2" s="197" t="s">
        <v>55</v>
      </c>
      <c r="S2" s="198" t="s">
        <v>56</v>
      </c>
      <c r="T2" s="196" t="s">
        <v>52</v>
      </c>
      <c r="U2" s="197" t="s">
        <v>53</v>
      </c>
      <c r="V2" s="197" t="s">
        <v>54</v>
      </c>
      <c r="W2" s="197" t="s">
        <v>55</v>
      </c>
      <c r="X2" s="198" t="s">
        <v>56</v>
      </c>
      <c r="Y2" s="196" t="s">
        <v>52</v>
      </c>
      <c r="Z2" s="197" t="s">
        <v>53</v>
      </c>
      <c r="AA2" s="197" t="s">
        <v>54</v>
      </c>
      <c r="AB2" s="197" t="s">
        <v>55</v>
      </c>
      <c r="AC2" s="198" t="s">
        <v>56</v>
      </c>
    </row>
    <row r="3" spans="1:29" x14ac:dyDescent="0.25">
      <c r="A3" s="246" t="s">
        <v>78</v>
      </c>
      <c r="B3" s="247"/>
      <c r="C3" s="247"/>
      <c r="D3" s="247"/>
      <c r="E3" s="247"/>
      <c r="F3" s="247"/>
      <c r="G3" s="247"/>
      <c r="H3" s="247"/>
      <c r="I3" s="247"/>
      <c r="J3" s="247"/>
      <c r="K3" s="247"/>
      <c r="L3" s="247"/>
      <c r="M3" s="247"/>
      <c r="N3" s="146"/>
      <c r="O3" s="234" t="s">
        <v>47</v>
      </c>
      <c r="P3" s="235"/>
      <c r="Q3" s="235"/>
      <c r="R3" s="235"/>
      <c r="S3" s="236"/>
      <c r="T3" s="234" t="s">
        <v>48</v>
      </c>
      <c r="U3" s="235"/>
      <c r="V3" s="235"/>
      <c r="W3" s="235"/>
      <c r="X3" s="236"/>
      <c r="Y3" s="234" t="s">
        <v>49</v>
      </c>
      <c r="Z3" s="235"/>
      <c r="AA3" s="235"/>
      <c r="AB3" s="235"/>
      <c r="AC3" s="236"/>
    </row>
    <row r="4" spans="1:29" ht="16.149999999999999" customHeight="1" x14ac:dyDescent="0.25">
      <c r="A4" s="24" t="s">
        <v>1</v>
      </c>
      <c r="B4" s="35"/>
      <c r="C4" s="237" t="s">
        <v>2</v>
      </c>
      <c r="D4" s="237"/>
      <c r="E4" s="237"/>
      <c r="F4" s="237"/>
      <c r="G4" s="237"/>
      <c r="H4" s="237"/>
      <c r="I4" s="238" t="s">
        <v>12</v>
      </c>
      <c r="J4" s="239"/>
      <c r="K4" s="240" t="s">
        <v>10</v>
      </c>
      <c r="L4" s="241"/>
      <c r="M4" s="36" t="s">
        <v>6</v>
      </c>
      <c r="N4" s="155"/>
      <c r="O4" s="199">
        <v>0.15</v>
      </c>
      <c r="P4" s="173">
        <v>0.4</v>
      </c>
      <c r="Q4" s="173">
        <v>0.2</v>
      </c>
      <c r="R4" s="173">
        <v>0.2</v>
      </c>
      <c r="S4" s="200">
        <v>0.05</v>
      </c>
      <c r="T4" s="199">
        <v>0.15</v>
      </c>
      <c r="U4" s="173">
        <v>0.4</v>
      </c>
      <c r="V4" s="173">
        <v>0.2</v>
      </c>
      <c r="W4" s="173">
        <v>0.2</v>
      </c>
      <c r="X4" s="200">
        <v>0.05</v>
      </c>
      <c r="Y4" s="199">
        <v>0.15</v>
      </c>
      <c r="Z4" s="173">
        <v>0.4</v>
      </c>
      <c r="AA4" s="173">
        <v>0.2</v>
      </c>
      <c r="AB4" s="173">
        <v>0.2</v>
      </c>
      <c r="AC4" s="200">
        <v>0.05</v>
      </c>
    </row>
    <row r="5" spans="1:29" x14ac:dyDescent="0.25">
      <c r="A5" s="21" t="s">
        <v>37</v>
      </c>
      <c r="B5" s="11" t="s">
        <v>38</v>
      </c>
      <c r="C5" s="11" t="s">
        <v>25</v>
      </c>
      <c r="D5" s="11" t="s">
        <v>26</v>
      </c>
      <c r="E5" s="12" t="s">
        <v>11</v>
      </c>
      <c r="F5" s="12" t="s">
        <v>27</v>
      </c>
      <c r="G5" s="12" t="s">
        <v>73</v>
      </c>
      <c r="H5" s="37" t="s">
        <v>4</v>
      </c>
      <c r="I5" s="12" t="s">
        <v>11</v>
      </c>
      <c r="J5" s="37" t="s">
        <v>4</v>
      </c>
      <c r="K5" s="12" t="s">
        <v>11</v>
      </c>
      <c r="L5" s="38" t="s">
        <v>4</v>
      </c>
      <c r="M5" s="39"/>
      <c r="N5" s="40" t="s">
        <v>22</v>
      </c>
      <c r="O5" s="201"/>
      <c r="P5" s="175"/>
      <c r="Q5" s="175"/>
      <c r="R5" s="175"/>
      <c r="S5" s="202"/>
      <c r="T5" s="201"/>
      <c r="U5" s="175"/>
      <c r="V5" s="175"/>
      <c r="W5" s="175"/>
      <c r="X5" s="202"/>
      <c r="Y5" s="201"/>
      <c r="Z5" s="175"/>
      <c r="AA5" s="175"/>
      <c r="AB5" s="175"/>
      <c r="AC5" s="202"/>
    </row>
    <row r="6" spans="1:29" ht="31.9" customHeight="1" x14ac:dyDescent="0.25">
      <c r="A6" s="248" t="s">
        <v>7</v>
      </c>
      <c r="B6" s="249"/>
      <c r="C6" s="17"/>
      <c r="D6" s="17"/>
      <c r="E6" s="41"/>
      <c r="F6" s="41"/>
      <c r="G6" s="41"/>
      <c r="H6" s="42"/>
      <c r="I6" s="41"/>
      <c r="J6" s="42"/>
      <c r="K6" s="41"/>
      <c r="L6" s="43"/>
      <c r="M6" s="28"/>
      <c r="N6" s="8" t="s">
        <v>8</v>
      </c>
      <c r="O6" s="201"/>
      <c r="P6" s="175"/>
      <c r="Q6" s="175"/>
      <c r="R6" s="175"/>
      <c r="S6" s="202"/>
      <c r="T6" s="201"/>
      <c r="U6" s="175"/>
      <c r="V6" s="175"/>
      <c r="W6" s="175"/>
      <c r="X6" s="202"/>
      <c r="Y6" s="201"/>
      <c r="Z6" s="175"/>
      <c r="AA6" s="175"/>
      <c r="AB6" s="175"/>
      <c r="AC6" s="202"/>
    </row>
    <row r="7" spans="1:29" ht="16.149999999999999" customHeight="1" x14ac:dyDescent="0.25">
      <c r="A7" s="44" t="s">
        <v>24</v>
      </c>
      <c r="B7" s="153" t="s">
        <v>45</v>
      </c>
      <c r="C7" s="45">
        <v>75000</v>
      </c>
      <c r="D7" s="101">
        <v>6</v>
      </c>
      <c r="E7" s="46">
        <v>0.5</v>
      </c>
      <c r="F7" s="47">
        <f t="shared" ref="F7:F12" si="0">E7*C7</f>
        <v>37500</v>
      </c>
      <c r="G7" s="47">
        <f t="shared" ref="G7:G12" si="1">F7*0.25</f>
        <v>9375</v>
      </c>
      <c r="H7" s="18">
        <f t="shared" ref="H7:H12" si="2">C7*E7+G7</f>
        <v>46875</v>
      </c>
      <c r="I7" s="46">
        <v>0.5</v>
      </c>
      <c r="J7" s="18">
        <f t="shared" ref="J7:J12" si="3">(I7*C7)*0.25+(I7*C7)</f>
        <v>46875</v>
      </c>
      <c r="K7" s="46">
        <v>0.25</v>
      </c>
      <c r="L7" s="18">
        <f>(K7*C7)*0.25+(K7*C7)</f>
        <v>23438</v>
      </c>
      <c r="M7" s="48"/>
      <c r="N7" s="9">
        <v>113169</v>
      </c>
      <c r="O7" s="203">
        <f>H7*$O$4</f>
        <v>7031.25</v>
      </c>
      <c r="P7" s="194">
        <f>H7*$P$4</f>
        <v>18750</v>
      </c>
      <c r="Q7" s="194">
        <f>H7*$Q$4</f>
        <v>9375</v>
      </c>
      <c r="R7" s="194">
        <f>H7*$R$4</f>
        <v>9375</v>
      </c>
      <c r="S7" s="204">
        <f>H7*$S$4</f>
        <v>2343.75</v>
      </c>
      <c r="T7" s="203">
        <f>J7*$T$4</f>
        <v>7031.25</v>
      </c>
      <c r="U7" s="194">
        <f>J7*$U$4</f>
        <v>18750</v>
      </c>
      <c r="V7" s="194">
        <f>J7*$V$4</f>
        <v>9375</v>
      </c>
      <c r="W7" s="194">
        <f>J7*$W$4</f>
        <v>9375</v>
      </c>
      <c r="X7" s="204">
        <f>J7*$X$4</f>
        <v>2343.75</v>
      </c>
      <c r="Y7" s="203">
        <f>L7*$Y$4</f>
        <v>3515.7</v>
      </c>
      <c r="Z7" s="194">
        <f>L7*$Z$4</f>
        <v>9375.2000000000007</v>
      </c>
      <c r="AA7" s="194">
        <f>L7*$AA$4</f>
        <v>4687.6000000000004</v>
      </c>
      <c r="AB7" s="194">
        <f>L7*$AB$4</f>
        <v>4687.6000000000004</v>
      </c>
      <c r="AC7" s="204">
        <f>L7*$AC$4</f>
        <v>1171.9000000000001</v>
      </c>
    </row>
    <row r="8" spans="1:29" ht="16.149999999999999" customHeight="1" x14ac:dyDescent="0.25">
      <c r="A8" s="44" t="s">
        <v>24</v>
      </c>
      <c r="B8" s="154" t="s">
        <v>46</v>
      </c>
      <c r="C8" s="100">
        <v>60000</v>
      </c>
      <c r="D8" s="101">
        <v>6</v>
      </c>
      <c r="E8" s="49">
        <v>0.5</v>
      </c>
      <c r="F8" s="47">
        <f t="shared" si="0"/>
        <v>30000</v>
      </c>
      <c r="G8" s="47">
        <f t="shared" si="1"/>
        <v>7500</v>
      </c>
      <c r="H8" s="18">
        <f t="shared" si="2"/>
        <v>37500</v>
      </c>
      <c r="I8" s="49">
        <v>0.25</v>
      </c>
      <c r="J8" s="18">
        <f t="shared" si="3"/>
        <v>18750</v>
      </c>
      <c r="K8" s="49">
        <v>0.15</v>
      </c>
      <c r="L8" s="18">
        <f>(K8*C8)*0.25+K8*C8</f>
        <v>11250</v>
      </c>
      <c r="M8" s="50"/>
      <c r="N8" s="10">
        <v>96443</v>
      </c>
      <c r="O8" s="203">
        <f t="shared" ref="O8" si="4">H8*$O$4</f>
        <v>5625</v>
      </c>
      <c r="P8" s="194">
        <f t="shared" ref="P8" si="5">H8*$P$4</f>
        <v>15000</v>
      </c>
      <c r="Q8" s="194">
        <f t="shared" ref="Q8" si="6">H8*$Q$4</f>
        <v>7500</v>
      </c>
      <c r="R8" s="194">
        <f t="shared" ref="R8" si="7">H8*$R$4</f>
        <v>7500</v>
      </c>
      <c r="S8" s="204">
        <f t="shared" ref="S8" si="8">H8*$S$4</f>
        <v>1875</v>
      </c>
      <c r="T8" s="203">
        <f t="shared" ref="T8" si="9">J8*$T$4</f>
        <v>2812.5</v>
      </c>
      <c r="U8" s="194">
        <f t="shared" ref="U8" si="10">J8*$U$4</f>
        <v>7500</v>
      </c>
      <c r="V8" s="194">
        <f t="shared" ref="V8" si="11">J8*$V$4</f>
        <v>3750</v>
      </c>
      <c r="W8" s="194">
        <f t="shared" ref="W8" si="12">J8*$W$4</f>
        <v>3750</v>
      </c>
      <c r="X8" s="204">
        <f t="shared" ref="X8" si="13">J8*$X$4</f>
        <v>937.5</v>
      </c>
      <c r="Y8" s="203">
        <f>L8*$Y$4</f>
        <v>1687.5</v>
      </c>
      <c r="Z8" s="194">
        <f>L8*$Z$4</f>
        <v>4500</v>
      </c>
      <c r="AA8" s="194">
        <f>L8*$AA$4</f>
        <v>2250</v>
      </c>
      <c r="AB8" s="194">
        <f>L8*$AB$4</f>
        <v>2250</v>
      </c>
      <c r="AC8" s="204">
        <f>L8*$AC$4</f>
        <v>562.5</v>
      </c>
    </row>
    <row r="9" spans="1:29" ht="16.149999999999999" customHeight="1" x14ac:dyDescent="0.25">
      <c r="A9" s="44" t="s">
        <v>24</v>
      </c>
      <c r="B9" s="152" t="s">
        <v>61</v>
      </c>
      <c r="C9" s="45">
        <v>50000</v>
      </c>
      <c r="D9" s="101">
        <v>12</v>
      </c>
      <c r="E9" s="46">
        <v>1</v>
      </c>
      <c r="F9" s="47">
        <f t="shared" si="0"/>
        <v>50000</v>
      </c>
      <c r="G9" s="47">
        <f t="shared" si="1"/>
        <v>12500</v>
      </c>
      <c r="H9" s="18">
        <f t="shared" si="2"/>
        <v>62500</v>
      </c>
      <c r="I9" s="46">
        <v>0.5</v>
      </c>
      <c r="J9" s="18">
        <f t="shared" si="3"/>
        <v>31250</v>
      </c>
      <c r="K9" s="46">
        <v>0.25</v>
      </c>
      <c r="L9" s="18">
        <f>(K9*C9)*0.25+K9*C9</f>
        <v>15625</v>
      </c>
      <c r="M9" s="28"/>
      <c r="N9" s="10">
        <v>86691</v>
      </c>
      <c r="O9" s="203">
        <f>H9*1</f>
        <v>62500</v>
      </c>
      <c r="P9" s="194">
        <v>0</v>
      </c>
      <c r="Q9" s="194">
        <v>0</v>
      </c>
      <c r="R9" s="194">
        <v>0</v>
      </c>
      <c r="S9" s="204">
        <v>0</v>
      </c>
      <c r="T9" s="203">
        <f>J9*1</f>
        <v>31250</v>
      </c>
      <c r="U9" s="194">
        <v>0</v>
      </c>
      <c r="V9" s="194">
        <v>0</v>
      </c>
      <c r="W9" s="194">
        <v>0</v>
      </c>
      <c r="X9" s="204">
        <v>0</v>
      </c>
      <c r="Y9" s="203">
        <f>L9*1</f>
        <v>15625</v>
      </c>
      <c r="Z9" s="194">
        <v>0</v>
      </c>
      <c r="AA9" s="194">
        <v>0</v>
      </c>
      <c r="AB9" s="194">
        <v>0</v>
      </c>
      <c r="AC9" s="204">
        <v>0</v>
      </c>
    </row>
    <row r="10" spans="1:29" x14ac:dyDescent="0.25">
      <c r="A10" s="44" t="s">
        <v>24</v>
      </c>
      <c r="B10" s="152" t="s">
        <v>62</v>
      </c>
      <c r="C10" s="45">
        <v>50000</v>
      </c>
      <c r="D10" s="101">
        <v>12</v>
      </c>
      <c r="E10" s="46">
        <v>1</v>
      </c>
      <c r="F10" s="47">
        <f t="shared" si="0"/>
        <v>50000</v>
      </c>
      <c r="G10" s="47">
        <f t="shared" si="1"/>
        <v>12500</v>
      </c>
      <c r="H10" s="18">
        <f t="shared" si="2"/>
        <v>62500</v>
      </c>
      <c r="I10" s="46">
        <v>0.5</v>
      </c>
      <c r="J10" s="18">
        <f t="shared" si="3"/>
        <v>31250</v>
      </c>
      <c r="K10" s="46">
        <v>0.25</v>
      </c>
      <c r="L10" s="18">
        <f>(K10*C10)*0.25+K10*C10</f>
        <v>15625</v>
      </c>
      <c r="M10" s="51"/>
      <c r="N10" s="10">
        <v>50219</v>
      </c>
      <c r="O10" s="203">
        <v>0</v>
      </c>
      <c r="P10" s="194">
        <f>H10*1</f>
        <v>62500</v>
      </c>
      <c r="Q10" s="194">
        <v>0</v>
      </c>
      <c r="R10" s="194">
        <v>0</v>
      </c>
      <c r="S10" s="204">
        <v>0</v>
      </c>
      <c r="T10" s="203">
        <v>0</v>
      </c>
      <c r="U10" s="194">
        <f>J10*1</f>
        <v>31250</v>
      </c>
      <c r="V10" s="194">
        <v>0</v>
      </c>
      <c r="W10" s="194">
        <v>0</v>
      </c>
      <c r="X10" s="204">
        <v>0</v>
      </c>
      <c r="Y10" s="203">
        <v>0</v>
      </c>
      <c r="Z10" s="194">
        <f>L10*1</f>
        <v>15625</v>
      </c>
      <c r="AA10" s="194">
        <v>0</v>
      </c>
      <c r="AB10" s="194">
        <v>0</v>
      </c>
      <c r="AC10" s="204">
        <v>0</v>
      </c>
    </row>
    <row r="11" spans="1:29" ht="16.149999999999999" customHeight="1" x14ac:dyDescent="0.25">
      <c r="A11" s="44" t="s">
        <v>24</v>
      </c>
      <c r="B11" s="152" t="s">
        <v>63</v>
      </c>
      <c r="C11" s="45">
        <v>50000</v>
      </c>
      <c r="D11" s="101">
        <v>12</v>
      </c>
      <c r="E11" s="46">
        <v>1</v>
      </c>
      <c r="F11" s="47">
        <f t="shared" si="0"/>
        <v>50000</v>
      </c>
      <c r="G11" s="47">
        <f t="shared" si="1"/>
        <v>12500</v>
      </c>
      <c r="H11" s="18">
        <f t="shared" si="2"/>
        <v>62500</v>
      </c>
      <c r="I11" s="46">
        <v>0.5</v>
      </c>
      <c r="J11" s="18">
        <f t="shared" si="3"/>
        <v>31250</v>
      </c>
      <c r="K11" s="46">
        <v>0.25</v>
      </c>
      <c r="L11" s="18">
        <f>(K11*C11)*0.25+K11*C11</f>
        <v>15625</v>
      </c>
      <c r="M11" s="50"/>
      <c r="N11" s="10">
        <v>60643</v>
      </c>
      <c r="O11" s="203">
        <v>0</v>
      </c>
      <c r="P11" s="194">
        <v>0</v>
      </c>
      <c r="Q11" s="194">
        <f>H11*1</f>
        <v>62500</v>
      </c>
      <c r="R11" s="194">
        <v>0</v>
      </c>
      <c r="S11" s="204">
        <v>0</v>
      </c>
      <c r="T11" s="203">
        <v>0</v>
      </c>
      <c r="U11" s="194">
        <v>0</v>
      </c>
      <c r="V11" s="194">
        <f>J11*1</f>
        <v>31250</v>
      </c>
      <c r="W11" s="194">
        <v>0</v>
      </c>
      <c r="X11" s="204">
        <v>0</v>
      </c>
      <c r="Y11" s="203">
        <v>0</v>
      </c>
      <c r="Z11" s="194">
        <v>0</v>
      </c>
      <c r="AA11" s="194">
        <f>L11*1</f>
        <v>15625</v>
      </c>
      <c r="AB11" s="194">
        <v>0</v>
      </c>
      <c r="AC11" s="204">
        <v>0</v>
      </c>
    </row>
    <row r="12" spans="1:29" s="6" customFormat="1" x14ac:dyDescent="0.25">
      <c r="A12" s="44" t="s">
        <v>24</v>
      </c>
      <c r="B12" s="152" t="s">
        <v>64</v>
      </c>
      <c r="C12" s="45">
        <v>50000</v>
      </c>
      <c r="D12" s="101">
        <v>12</v>
      </c>
      <c r="E12" s="46">
        <v>1</v>
      </c>
      <c r="F12" s="47">
        <f t="shared" si="0"/>
        <v>50000</v>
      </c>
      <c r="G12" s="47">
        <f t="shared" si="1"/>
        <v>12500</v>
      </c>
      <c r="H12" s="18">
        <f t="shared" si="2"/>
        <v>62500</v>
      </c>
      <c r="I12" s="46">
        <v>0.5</v>
      </c>
      <c r="J12" s="18">
        <f t="shared" si="3"/>
        <v>31250</v>
      </c>
      <c r="K12" s="46">
        <v>0.25</v>
      </c>
      <c r="L12" s="18">
        <f>(K12*C12)*0.25+K12*C12</f>
        <v>15625</v>
      </c>
      <c r="M12" s="52"/>
      <c r="N12" s="9">
        <v>89853</v>
      </c>
      <c r="O12" s="203">
        <v>0</v>
      </c>
      <c r="P12" s="194">
        <v>0</v>
      </c>
      <c r="Q12" s="194">
        <v>0</v>
      </c>
      <c r="R12" s="194">
        <f>H12*1</f>
        <v>62500</v>
      </c>
      <c r="S12" s="204">
        <v>0</v>
      </c>
      <c r="T12" s="203">
        <v>0</v>
      </c>
      <c r="U12" s="194">
        <v>0</v>
      </c>
      <c r="V12" s="194">
        <v>0</v>
      </c>
      <c r="W12" s="194">
        <f>J12*1</f>
        <v>31250</v>
      </c>
      <c r="X12" s="204">
        <v>0</v>
      </c>
      <c r="Y12" s="203">
        <v>0</v>
      </c>
      <c r="Z12" s="194">
        <v>0</v>
      </c>
      <c r="AA12" s="194">
        <v>0</v>
      </c>
      <c r="AB12" s="194">
        <f>L12*1</f>
        <v>15625</v>
      </c>
      <c r="AC12" s="204">
        <v>0</v>
      </c>
    </row>
    <row r="13" spans="1:29" x14ac:dyDescent="0.25">
      <c r="A13" s="22" t="s">
        <v>36</v>
      </c>
      <c r="B13" s="17"/>
      <c r="C13" s="17"/>
      <c r="D13" s="17"/>
      <c r="E13" s="17"/>
      <c r="F13" s="13">
        <f>SUM(F7:F12)</f>
        <v>267500</v>
      </c>
      <c r="G13" s="13">
        <f>SUM(G7:G12)</f>
        <v>66875</v>
      </c>
      <c r="H13" s="20">
        <f>SUM(H7:H12)</f>
        <v>334375</v>
      </c>
      <c r="I13" s="17"/>
      <c r="J13" s="20">
        <f>SUM(J7:J12)</f>
        <v>190625</v>
      </c>
      <c r="K13" s="17"/>
      <c r="L13" s="20">
        <f>SUM(L7:L12)</f>
        <v>97188</v>
      </c>
      <c r="M13" s="28">
        <f>SUM(H13,J13,L13)</f>
        <v>622188</v>
      </c>
      <c r="N13" s="225"/>
      <c r="O13" s="193"/>
      <c r="P13" s="194"/>
      <c r="Q13" s="194"/>
      <c r="R13" s="194"/>
      <c r="S13" s="204"/>
      <c r="T13" s="193"/>
      <c r="U13" s="194"/>
      <c r="V13" s="194"/>
      <c r="W13" s="194"/>
      <c r="X13" s="204"/>
      <c r="Y13" s="193"/>
      <c r="Z13" s="194"/>
      <c r="AA13" s="194"/>
      <c r="AB13" s="194"/>
      <c r="AC13" s="204"/>
    </row>
    <row r="14" spans="1:29" x14ac:dyDescent="0.25">
      <c r="A14" s="21" t="s">
        <v>9</v>
      </c>
      <c r="B14" s="54"/>
      <c r="C14" s="25"/>
      <c r="D14" s="25"/>
      <c r="E14" s="55"/>
      <c r="F14" s="55"/>
      <c r="G14" s="55"/>
      <c r="H14" s="56"/>
      <c r="I14" s="57"/>
      <c r="J14" s="58"/>
      <c r="K14" s="57"/>
      <c r="L14" s="57"/>
      <c r="M14" s="28"/>
      <c r="N14" s="223"/>
      <c r="O14" s="193"/>
      <c r="P14" s="194"/>
      <c r="Q14" s="194"/>
      <c r="R14" s="194"/>
      <c r="S14" s="204"/>
      <c r="T14" s="193"/>
      <c r="U14" s="194"/>
      <c r="V14" s="194"/>
      <c r="W14" s="194"/>
      <c r="X14" s="204"/>
      <c r="Y14" s="193"/>
      <c r="Z14" s="194"/>
      <c r="AA14" s="194"/>
      <c r="AB14" s="194"/>
      <c r="AC14" s="204"/>
    </row>
    <row r="15" spans="1:29" ht="16.149999999999999" customHeight="1" x14ac:dyDescent="0.25">
      <c r="A15" s="250" t="s">
        <v>43</v>
      </c>
      <c r="B15" s="251"/>
      <c r="C15" s="252"/>
      <c r="D15" s="61"/>
      <c r="E15" s="62"/>
      <c r="F15" s="63"/>
      <c r="G15" s="63"/>
      <c r="H15" s="64">
        <f>G41</f>
        <v>144100</v>
      </c>
      <c r="I15" s="65"/>
      <c r="J15" s="66">
        <f>H15</f>
        <v>144100</v>
      </c>
      <c r="K15" s="67"/>
      <c r="L15" s="65">
        <f>J15</f>
        <v>144100</v>
      </c>
      <c r="M15" s="29">
        <f>N41</f>
        <v>432300</v>
      </c>
      <c r="N15" s="41"/>
      <c r="O15" s="193">
        <f>H15*$O$4</f>
        <v>21615</v>
      </c>
      <c r="P15" s="194">
        <f>H15*$P$4</f>
        <v>57640</v>
      </c>
      <c r="Q15" s="194">
        <f>H15*$Q$4</f>
        <v>28820</v>
      </c>
      <c r="R15" s="194">
        <f>H15*$R$4</f>
        <v>28820</v>
      </c>
      <c r="S15" s="205">
        <f>H15*$S$4</f>
        <v>7205</v>
      </c>
      <c r="T15" s="203">
        <f>J15*$T$4</f>
        <v>21615</v>
      </c>
      <c r="U15" s="194">
        <f t="shared" ref="U15:U21" si="14">J15*$U$4</f>
        <v>57640</v>
      </c>
      <c r="V15" s="194">
        <f>J15*$V$4</f>
        <v>28820</v>
      </c>
      <c r="W15" s="194">
        <f t="shared" ref="W15:W21" si="15">J15*$W$4</f>
        <v>28820</v>
      </c>
      <c r="X15" s="204">
        <f t="shared" ref="X15:X31" si="16">J15*$X$4</f>
        <v>7205</v>
      </c>
      <c r="Y15" s="193">
        <f>L15*$Y$4</f>
        <v>21615</v>
      </c>
      <c r="Z15" s="194">
        <f>L15*$Z$4</f>
        <v>57640</v>
      </c>
      <c r="AA15" s="194">
        <f>L15*$AA$4</f>
        <v>28820</v>
      </c>
      <c r="AB15" s="194">
        <f>L15*$AB$4</f>
        <v>28820</v>
      </c>
      <c r="AC15" s="205">
        <f>L15*$AC$4</f>
        <v>7205</v>
      </c>
    </row>
    <row r="16" spans="1:29" ht="16.149999999999999" customHeight="1" x14ac:dyDescent="0.25">
      <c r="A16" s="253" t="s">
        <v>28</v>
      </c>
      <c r="B16" s="254"/>
      <c r="C16" s="68"/>
      <c r="D16" s="68"/>
      <c r="E16" s="69"/>
      <c r="F16" s="70"/>
      <c r="G16" s="70"/>
      <c r="H16" s="71"/>
      <c r="I16" s="41"/>
      <c r="J16" s="27"/>
      <c r="K16" s="72"/>
      <c r="L16" s="41"/>
      <c r="M16" s="28"/>
      <c r="N16" s="41"/>
      <c r="O16" s="193"/>
      <c r="P16" s="194">
        <f t="shared" ref="P16:P29" si="17">H16*$P$4</f>
        <v>0</v>
      </c>
      <c r="Q16" s="194">
        <f t="shared" ref="Q16:Q31" si="18">H16*$Q$4</f>
        <v>0</v>
      </c>
      <c r="R16" s="194">
        <f t="shared" ref="R16:R31" si="19">H16*$R$4</f>
        <v>0</v>
      </c>
      <c r="S16" s="205">
        <f t="shared" ref="S16:S31" si="20">H16*$S$4</f>
        <v>0</v>
      </c>
      <c r="T16" s="203">
        <f t="shared" ref="T16:T30" si="21">J16*$T$4</f>
        <v>0</v>
      </c>
      <c r="U16" s="194">
        <f t="shared" si="14"/>
        <v>0</v>
      </c>
      <c r="V16" s="194">
        <f t="shared" ref="V16:V20" si="22">J16*$V$4</f>
        <v>0</v>
      </c>
      <c r="W16" s="194">
        <f t="shared" si="15"/>
        <v>0</v>
      </c>
      <c r="X16" s="204">
        <f t="shared" si="16"/>
        <v>0</v>
      </c>
      <c r="Y16" s="193">
        <f t="shared" ref="Y16:Y31" si="23">L16*$Y$4</f>
        <v>0</v>
      </c>
      <c r="Z16" s="194">
        <f t="shared" ref="Z16:Z31" si="24">L16*$Z$4</f>
        <v>0</v>
      </c>
      <c r="AA16" s="194">
        <f t="shared" ref="AA16:AA31" si="25">L16*$AA$4</f>
        <v>0</v>
      </c>
      <c r="AB16" s="194">
        <f t="shared" ref="AB16:AB31" si="26">L16*$AB$4</f>
        <v>0</v>
      </c>
      <c r="AC16" s="205">
        <f t="shared" ref="AC16:AC31" si="27">L16*$AC$4</f>
        <v>0</v>
      </c>
    </row>
    <row r="17" spans="1:80" s="17" customFormat="1" ht="16.149999999999999" customHeight="1" x14ac:dyDescent="0.25">
      <c r="A17" s="231" t="s">
        <v>75</v>
      </c>
      <c r="B17" s="230"/>
      <c r="C17" s="230"/>
      <c r="D17" s="230"/>
      <c r="E17" s="230"/>
      <c r="F17" s="230"/>
      <c r="G17" s="230"/>
      <c r="H17" s="27">
        <f>7*150*25+2*35*5*25</f>
        <v>35000</v>
      </c>
      <c r="I17" s="41"/>
      <c r="J17" s="27">
        <f>7*150*25+2*35*5*25</f>
        <v>35000</v>
      </c>
      <c r="K17" s="41"/>
      <c r="L17" s="27">
        <f>7*150*25+2*35*5*25</f>
        <v>35000</v>
      </c>
      <c r="M17" s="102">
        <f>SUM(H17,J17,L17)</f>
        <v>105000</v>
      </c>
      <c r="N17" s="157"/>
      <c r="O17" s="193">
        <f>H17*$O$4</f>
        <v>5250</v>
      </c>
      <c r="P17" s="194">
        <f t="shared" si="17"/>
        <v>14000</v>
      </c>
      <c r="Q17" s="194">
        <f t="shared" si="18"/>
        <v>7000</v>
      </c>
      <c r="R17" s="194">
        <f t="shared" si="19"/>
        <v>7000</v>
      </c>
      <c r="S17" s="205">
        <f t="shared" si="20"/>
        <v>1750</v>
      </c>
      <c r="T17" s="203">
        <f t="shared" si="21"/>
        <v>5250</v>
      </c>
      <c r="U17" s="194">
        <f t="shared" si="14"/>
        <v>14000</v>
      </c>
      <c r="V17" s="194">
        <f t="shared" si="22"/>
        <v>7000</v>
      </c>
      <c r="W17" s="194">
        <f t="shared" si="15"/>
        <v>7000</v>
      </c>
      <c r="X17" s="204">
        <f t="shared" si="16"/>
        <v>1750</v>
      </c>
      <c r="Y17" s="193">
        <f t="shared" si="23"/>
        <v>5250</v>
      </c>
      <c r="Z17" s="194">
        <f t="shared" si="24"/>
        <v>14000</v>
      </c>
      <c r="AA17" s="194">
        <f t="shared" si="25"/>
        <v>7000</v>
      </c>
      <c r="AB17" s="194">
        <f t="shared" si="26"/>
        <v>7000</v>
      </c>
      <c r="AC17" s="205">
        <f t="shared" si="27"/>
        <v>1750</v>
      </c>
    </row>
    <row r="18" spans="1:80" ht="16.149999999999999" customHeight="1" x14ac:dyDescent="0.25">
      <c r="A18" s="231" t="s">
        <v>77</v>
      </c>
      <c r="B18" s="230"/>
      <c r="C18" s="230"/>
      <c r="D18" s="230"/>
      <c r="E18" s="230"/>
      <c r="F18" s="230"/>
      <c r="G18" s="230"/>
      <c r="H18" s="27">
        <f>2*150*25+2000*25</f>
        <v>57500</v>
      </c>
      <c r="I18" s="41"/>
      <c r="J18" s="27">
        <f>2*150*25+2000*25</f>
        <v>57500</v>
      </c>
      <c r="K18" s="41"/>
      <c r="L18" s="27">
        <f>2*150*25+2000*25</f>
        <v>57500</v>
      </c>
      <c r="M18" s="103">
        <f>SUM(H18,J18,L18)</f>
        <v>172500</v>
      </c>
      <c r="N18" s="158"/>
      <c r="O18" s="193">
        <f>H18*$O$4</f>
        <v>8625</v>
      </c>
      <c r="P18" s="194">
        <f t="shared" si="17"/>
        <v>23000</v>
      </c>
      <c r="Q18" s="194">
        <f t="shared" si="18"/>
        <v>11500</v>
      </c>
      <c r="R18" s="194">
        <f t="shared" si="19"/>
        <v>11500</v>
      </c>
      <c r="S18" s="205">
        <f t="shared" si="20"/>
        <v>2875</v>
      </c>
      <c r="T18" s="203">
        <f t="shared" si="21"/>
        <v>8625</v>
      </c>
      <c r="U18" s="194">
        <f t="shared" si="14"/>
        <v>23000</v>
      </c>
      <c r="V18" s="194">
        <f t="shared" si="22"/>
        <v>11500</v>
      </c>
      <c r="W18" s="194">
        <f t="shared" si="15"/>
        <v>11500</v>
      </c>
      <c r="X18" s="204">
        <f t="shared" si="16"/>
        <v>2875</v>
      </c>
      <c r="Y18" s="193">
        <f t="shared" si="23"/>
        <v>8625</v>
      </c>
      <c r="Z18" s="194">
        <f t="shared" si="24"/>
        <v>23000</v>
      </c>
      <c r="AA18" s="194">
        <f t="shared" si="25"/>
        <v>11500</v>
      </c>
      <c r="AB18" s="194">
        <f t="shared" si="26"/>
        <v>11500</v>
      </c>
      <c r="AC18" s="205">
        <f t="shared" si="27"/>
        <v>2875</v>
      </c>
    </row>
    <row r="19" spans="1:80" s="60" customFormat="1" ht="16.149999999999999" customHeight="1" x14ac:dyDescent="0.25">
      <c r="A19" s="30"/>
      <c r="B19" s="31"/>
      <c r="C19" s="31"/>
      <c r="D19" s="31"/>
      <c r="E19" s="31"/>
      <c r="F19" s="31"/>
      <c r="G19" s="31"/>
      <c r="H19" s="66"/>
      <c r="I19" s="65"/>
      <c r="J19" s="66"/>
      <c r="K19" s="65"/>
      <c r="L19" s="65"/>
      <c r="M19" s="32">
        <f>SUM(M17:M18)</f>
        <v>277500</v>
      </c>
      <c r="N19" s="130"/>
      <c r="O19" s="193"/>
      <c r="P19" s="194">
        <f t="shared" si="17"/>
        <v>0</v>
      </c>
      <c r="Q19" s="194">
        <f t="shared" si="18"/>
        <v>0</v>
      </c>
      <c r="R19" s="194">
        <f t="shared" si="19"/>
        <v>0</v>
      </c>
      <c r="S19" s="205">
        <f t="shared" si="20"/>
        <v>0</v>
      </c>
      <c r="T19" s="203">
        <f t="shared" si="21"/>
        <v>0</v>
      </c>
      <c r="U19" s="194">
        <f t="shared" si="14"/>
        <v>0</v>
      </c>
      <c r="V19" s="194">
        <f t="shared" si="22"/>
        <v>0</v>
      </c>
      <c r="W19" s="194">
        <f t="shared" si="15"/>
        <v>0</v>
      </c>
      <c r="X19" s="204">
        <f t="shared" si="16"/>
        <v>0</v>
      </c>
      <c r="Y19" s="193">
        <f t="shared" si="23"/>
        <v>0</v>
      </c>
      <c r="Z19" s="194">
        <f t="shared" si="24"/>
        <v>0</v>
      </c>
      <c r="AA19" s="194">
        <f t="shared" si="25"/>
        <v>0</v>
      </c>
      <c r="AB19" s="194">
        <f t="shared" si="26"/>
        <v>0</v>
      </c>
      <c r="AC19" s="205">
        <f t="shared" si="27"/>
        <v>0</v>
      </c>
    </row>
    <row r="20" spans="1:80" ht="13.9" customHeight="1" x14ac:dyDescent="0.25">
      <c r="A20" s="244" t="s">
        <v>29</v>
      </c>
      <c r="B20" s="245"/>
      <c r="C20" s="245"/>
      <c r="D20" s="17"/>
      <c r="E20" s="41"/>
      <c r="F20" s="41"/>
      <c r="G20" s="41"/>
      <c r="H20" s="42"/>
      <c r="I20" s="59"/>
      <c r="J20" s="73"/>
      <c r="K20" s="59"/>
      <c r="L20" s="58"/>
      <c r="M20" s="53"/>
      <c r="N20" s="17"/>
      <c r="O20" s="193"/>
      <c r="P20" s="194">
        <f t="shared" si="17"/>
        <v>0</v>
      </c>
      <c r="Q20" s="194">
        <f t="shared" si="18"/>
        <v>0</v>
      </c>
      <c r="R20" s="194">
        <f t="shared" si="19"/>
        <v>0</v>
      </c>
      <c r="S20" s="205">
        <f t="shared" si="20"/>
        <v>0</v>
      </c>
      <c r="T20" s="203">
        <f t="shared" si="21"/>
        <v>0</v>
      </c>
      <c r="U20" s="194">
        <f t="shared" si="14"/>
        <v>0</v>
      </c>
      <c r="V20" s="194">
        <f t="shared" si="22"/>
        <v>0</v>
      </c>
      <c r="W20" s="194">
        <f t="shared" si="15"/>
        <v>0</v>
      </c>
      <c r="X20" s="204">
        <f t="shared" si="16"/>
        <v>0</v>
      </c>
      <c r="Y20" s="193">
        <f t="shared" si="23"/>
        <v>0</v>
      </c>
      <c r="Z20" s="194">
        <f t="shared" si="24"/>
        <v>0</v>
      </c>
      <c r="AA20" s="194">
        <f t="shared" si="25"/>
        <v>0</v>
      </c>
      <c r="AB20" s="194">
        <f t="shared" si="26"/>
        <v>0</v>
      </c>
      <c r="AC20" s="205">
        <f t="shared" si="27"/>
        <v>0</v>
      </c>
    </row>
    <row r="21" spans="1:80" x14ac:dyDescent="0.25">
      <c r="A21" s="264" t="s">
        <v>39</v>
      </c>
      <c r="B21" s="265"/>
      <c r="C21" s="17"/>
      <c r="D21" s="17"/>
      <c r="E21" s="41"/>
      <c r="F21" s="41"/>
      <c r="G21" s="41"/>
      <c r="H21" s="74">
        <v>34023</v>
      </c>
      <c r="I21" s="75"/>
      <c r="J21" s="74">
        <v>50</v>
      </c>
      <c r="K21" s="76"/>
      <c r="L21" s="76">
        <v>50</v>
      </c>
      <c r="M21" s="28">
        <f>SUM(H21, J21, L21)</f>
        <v>34123</v>
      </c>
      <c r="N21" s="41"/>
      <c r="O21" s="193">
        <f>H21*$O$4</f>
        <v>5103.45</v>
      </c>
      <c r="P21" s="194">
        <f t="shared" si="17"/>
        <v>13609.2</v>
      </c>
      <c r="Q21" s="194">
        <f t="shared" si="18"/>
        <v>6804.6</v>
      </c>
      <c r="R21" s="194">
        <f t="shared" si="19"/>
        <v>6804.6</v>
      </c>
      <c r="S21" s="205">
        <f t="shared" si="20"/>
        <v>1701.15</v>
      </c>
      <c r="T21" s="203">
        <f t="shared" si="21"/>
        <v>7.5</v>
      </c>
      <c r="U21" s="194">
        <f t="shared" si="14"/>
        <v>20</v>
      </c>
      <c r="V21" s="194">
        <f>J21*$V$4</f>
        <v>10</v>
      </c>
      <c r="W21" s="194">
        <f t="shared" si="15"/>
        <v>10</v>
      </c>
      <c r="X21" s="204">
        <f t="shared" si="16"/>
        <v>2.5</v>
      </c>
      <c r="Y21" s="193">
        <f t="shared" si="23"/>
        <v>7.5</v>
      </c>
      <c r="Z21" s="194">
        <f t="shared" si="24"/>
        <v>20</v>
      </c>
      <c r="AA21" s="194">
        <f t="shared" si="25"/>
        <v>10</v>
      </c>
      <c r="AB21" s="194">
        <f t="shared" si="26"/>
        <v>10</v>
      </c>
      <c r="AC21" s="205">
        <f t="shared" si="27"/>
        <v>2.5</v>
      </c>
    </row>
    <row r="22" spans="1:80" x14ac:dyDescent="0.25">
      <c r="A22" s="264" t="s">
        <v>30</v>
      </c>
      <c r="B22" s="265"/>
      <c r="C22" s="17"/>
      <c r="D22" s="17"/>
      <c r="E22" s="41"/>
      <c r="F22" s="41"/>
      <c r="G22" s="41"/>
      <c r="H22" s="74">
        <f>SUM(E23:E26)</f>
        <v>463000</v>
      </c>
      <c r="I22" s="75"/>
      <c r="J22" s="74">
        <f>SUM(I23,I24,I25,I26)</f>
        <v>463000</v>
      </c>
      <c r="K22" s="76"/>
      <c r="L22" s="74">
        <f>SUM(K23,K24,K25,K26)</f>
        <v>463000</v>
      </c>
      <c r="M22" s="28">
        <f>SUM(H22, J22, L22)</f>
        <v>1389000</v>
      </c>
      <c r="N22" s="41"/>
      <c r="O22" s="193"/>
      <c r="P22" s="194"/>
      <c r="Q22" s="194"/>
      <c r="R22" s="194"/>
      <c r="S22" s="205"/>
      <c r="T22" s="203"/>
      <c r="U22" s="194"/>
      <c r="V22" s="194"/>
      <c r="W22" s="194"/>
      <c r="X22" s="204"/>
      <c r="Y22" s="193"/>
      <c r="Z22" s="194"/>
      <c r="AA22" s="194"/>
      <c r="AB22" s="194"/>
      <c r="AC22" s="205"/>
    </row>
    <row r="23" spans="1:80" ht="15" customHeight="1" x14ac:dyDescent="0.25">
      <c r="A23" s="229" t="s">
        <v>44</v>
      </c>
      <c r="B23" s="230"/>
      <c r="E23" s="77">
        <v>50000</v>
      </c>
      <c r="F23" s="77"/>
      <c r="G23" s="77"/>
      <c r="H23" s="78"/>
      <c r="I23" s="77">
        <f>E23</f>
        <v>50000</v>
      </c>
      <c r="J23" s="78"/>
      <c r="K23" s="77">
        <f>I23</f>
        <v>50000</v>
      </c>
      <c r="L23" s="79"/>
      <c r="M23" s="28"/>
      <c r="N23" s="41"/>
      <c r="O23" s="193">
        <f>E23*$O$4</f>
        <v>7500</v>
      </c>
      <c r="P23" s="194">
        <f>E23*$P$4</f>
        <v>20000</v>
      </c>
      <c r="Q23" s="194">
        <f>E23*$Q$4</f>
        <v>10000</v>
      </c>
      <c r="R23" s="194">
        <f>E23*$R$4</f>
        <v>10000</v>
      </c>
      <c r="S23" s="205">
        <f>E23*$S$4</f>
        <v>2500</v>
      </c>
      <c r="T23" s="203">
        <f>I23*$T$4</f>
        <v>7500</v>
      </c>
      <c r="U23" s="203">
        <f>I23*$U$4</f>
        <v>20000</v>
      </c>
      <c r="V23" s="194">
        <f>I23*$V$4</f>
        <v>10000</v>
      </c>
      <c r="W23" s="194">
        <f>I23*$W$4</f>
        <v>10000</v>
      </c>
      <c r="X23" s="204">
        <f>I23*$X$4</f>
        <v>2500</v>
      </c>
      <c r="Y23" s="193">
        <f>K23*$Y$4</f>
        <v>7500</v>
      </c>
      <c r="Z23" s="194">
        <f>K23*$Z$4</f>
        <v>20000</v>
      </c>
      <c r="AA23" s="194">
        <f>K23*$AA$4</f>
        <v>10000</v>
      </c>
      <c r="AB23" s="194">
        <f>K23*$AB$4</f>
        <v>10000</v>
      </c>
      <c r="AC23" s="205">
        <f>K23*$AC$4</f>
        <v>2500</v>
      </c>
    </row>
    <row r="24" spans="1:80" ht="15" customHeight="1" x14ac:dyDescent="0.25">
      <c r="A24" s="229" t="s">
        <v>31</v>
      </c>
      <c r="B24" s="230"/>
      <c r="E24" s="77">
        <v>250000</v>
      </c>
      <c r="F24" s="77"/>
      <c r="G24" s="77"/>
      <c r="H24" s="78"/>
      <c r="I24" s="77">
        <f>E24</f>
        <v>250000</v>
      </c>
      <c r="J24" s="78"/>
      <c r="K24" s="77">
        <f>I24</f>
        <v>250000</v>
      </c>
      <c r="L24" s="79"/>
      <c r="M24" s="28"/>
      <c r="N24" s="41"/>
      <c r="O24" s="193">
        <f t="shared" ref="O24:O26" si="28">E24*$O$4</f>
        <v>37500</v>
      </c>
      <c r="P24" s="194">
        <f t="shared" ref="P24:P26" si="29">E24*$P$4</f>
        <v>100000</v>
      </c>
      <c r="Q24" s="194">
        <f t="shared" ref="Q24:Q26" si="30">E24*$Q$4</f>
        <v>50000</v>
      </c>
      <c r="R24" s="194">
        <f t="shared" ref="R24:R26" si="31">E24*$R$4</f>
        <v>50000</v>
      </c>
      <c r="S24" s="205">
        <f t="shared" ref="S24:S26" si="32">E24*$S$4</f>
        <v>12500</v>
      </c>
      <c r="T24" s="203">
        <f t="shared" ref="T24:T27" si="33">I24*$T$4</f>
        <v>37500</v>
      </c>
      <c r="U24" s="203">
        <f t="shared" ref="U24:U26" si="34">I24*$U$4</f>
        <v>100000</v>
      </c>
      <c r="V24" s="194">
        <f t="shared" ref="V24:V26" si="35">I24*$V$4</f>
        <v>50000</v>
      </c>
      <c r="W24" s="194">
        <f t="shared" ref="W24:W27" si="36">I24*$W$4</f>
        <v>50000</v>
      </c>
      <c r="X24" s="204">
        <f t="shared" ref="X24:X27" si="37">I24*$X$4</f>
        <v>12500</v>
      </c>
      <c r="Y24" s="193">
        <f t="shared" ref="Y24:Y27" si="38">K24*$Y$4</f>
        <v>37500</v>
      </c>
      <c r="Z24" s="194">
        <f t="shared" ref="Z24:Z26" si="39">K24*$Z$4</f>
        <v>100000</v>
      </c>
      <c r="AA24" s="194">
        <f t="shared" ref="AA24:AA26" si="40">K24*$AA$4</f>
        <v>50000</v>
      </c>
      <c r="AB24" s="194">
        <f t="shared" ref="AB24:AB26" si="41">K24*$AB$4</f>
        <v>50000</v>
      </c>
      <c r="AC24" s="205">
        <f t="shared" ref="AC24:AC27" si="42">K24*$AC$4</f>
        <v>12500</v>
      </c>
    </row>
    <row r="25" spans="1:80" ht="15" customHeight="1" x14ac:dyDescent="0.25">
      <c r="A25" s="231" t="s">
        <v>51</v>
      </c>
      <c r="B25" s="230"/>
      <c r="E25" s="77">
        <v>150500</v>
      </c>
      <c r="F25" s="77"/>
      <c r="G25" s="77"/>
      <c r="H25" s="78"/>
      <c r="I25" s="77">
        <v>150500</v>
      </c>
      <c r="J25" s="78"/>
      <c r="K25" s="77">
        <f>I25</f>
        <v>150500</v>
      </c>
      <c r="L25" s="79"/>
      <c r="M25" s="28"/>
      <c r="N25" s="41"/>
      <c r="O25" s="193">
        <f t="shared" si="28"/>
        <v>22575</v>
      </c>
      <c r="P25" s="194">
        <f t="shared" si="29"/>
        <v>60200</v>
      </c>
      <c r="Q25" s="194">
        <f t="shared" si="30"/>
        <v>30100</v>
      </c>
      <c r="R25" s="194">
        <f t="shared" si="31"/>
        <v>30100</v>
      </c>
      <c r="S25" s="205">
        <f t="shared" si="32"/>
        <v>7525</v>
      </c>
      <c r="T25" s="203">
        <f t="shared" si="33"/>
        <v>22575</v>
      </c>
      <c r="U25" s="203">
        <f t="shared" si="34"/>
        <v>60200</v>
      </c>
      <c r="V25" s="194">
        <f t="shared" si="35"/>
        <v>30100</v>
      </c>
      <c r="W25" s="194">
        <f t="shared" si="36"/>
        <v>30100</v>
      </c>
      <c r="X25" s="204">
        <f t="shared" si="37"/>
        <v>7525</v>
      </c>
      <c r="Y25" s="193">
        <f t="shared" si="38"/>
        <v>22575</v>
      </c>
      <c r="Z25" s="194">
        <f t="shared" si="39"/>
        <v>60200</v>
      </c>
      <c r="AA25" s="194">
        <f t="shared" si="40"/>
        <v>30100</v>
      </c>
      <c r="AB25" s="194">
        <f t="shared" si="41"/>
        <v>30100</v>
      </c>
      <c r="AC25" s="205">
        <f t="shared" si="42"/>
        <v>7525</v>
      </c>
    </row>
    <row r="26" spans="1:80" ht="15" customHeight="1" x14ac:dyDescent="0.25">
      <c r="A26" s="231" t="s">
        <v>50</v>
      </c>
      <c r="B26" s="232"/>
      <c r="E26" s="77">
        <f>5*2500</f>
        <v>12500</v>
      </c>
      <c r="F26" s="77"/>
      <c r="G26" s="77"/>
      <c r="H26" s="78"/>
      <c r="I26" s="77">
        <f>5*2500</f>
        <v>12500</v>
      </c>
      <c r="J26" s="78"/>
      <c r="K26" s="77">
        <f>5*2500</f>
        <v>12500</v>
      </c>
      <c r="L26" s="79"/>
      <c r="M26" s="27"/>
      <c r="N26" s="41"/>
      <c r="O26" s="193">
        <f t="shared" si="28"/>
        <v>1875</v>
      </c>
      <c r="P26" s="194">
        <f t="shared" si="29"/>
        <v>5000</v>
      </c>
      <c r="Q26" s="194">
        <f t="shared" si="30"/>
        <v>2500</v>
      </c>
      <c r="R26" s="194">
        <f t="shared" si="31"/>
        <v>2500</v>
      </c>
      <c r="S26" s="205">
        <f t="shared" si="32"/>
        <v>625</v>
      </c>
      <c r="T26" s="203">
        <f t="shared" si="33"/>
        <v>1875</v>
      </c>
      <c r="U26" s="203">
        <f t="shared" si="34"/>
        <v>5000</v>
      </c>
      <c r="V26" s="194">
        <f t="shared" si="35"/>
        <v>2500</v>
      </c>
      <c r="W26" s="194">
        <f t="shared" si="36"/>
        <v>2500</v>
      </c>
      <c r="X26" s="204">
        <f t="shared" si="37"/>
        <v>625</v>
      </c>
      <c r="Y26" s="193">
        <f t="shared" si="38"/>
        <v>1875</v>
      </c>
      <c r="Z26" s="194">
        <f t="shared" si="39"/>
        <v>5000</v>
      </c>
      <c r="AA26" s="194">
        <f t="shared" si="40"/>
        <v>2500</v>
      </c>
      <c r="AB26" s="194">
        <f t="shared" si="41"/>
        <v>2500</v>
      </c>
      <c r="AC26" s="205">
        <f t="shared" si="42"/>
        <v>625</v>
      </c>
    </row>
    <row r="27" spans="1:80" ht="15" customHeight="1" x14ac:dyDescent="0.25">
      <c r="A27" s="266" t="s">
        <v>69</v>
      </c>
      <c r="B27" s="267"/>
      <c r="C27" s="80"/>
      <c r="D27" s="80"/>
      <c r="E27" s="77"/>
      <c r="F27" s="77"/>
      <c r="G27" s="77"/>
      <c r="H27" s="27">
        <v>0</v>
      </c>
      <c r="I27" s="77"/>
      <c r="J27" s="27">
        <v>0</v>
      </c>
      <c r="K27" s="77"/>
      <c r="L27" s="27">
        <v>0</v>
      </c>
      <c r="M27" s="27">
        <f>L27+J27+H27</f>
        <v>0</v>
      </c>
      <c r="N27" s="41"/>
      <c r="O27" s="193">
        <f>H27*$O$4</f>
        <v>0</v>
      </c>
      <c r="P27" s="194">
        <f>H27*$P$4</f>
        <v>0</v>
      </c>
      <c r="Q27" s="194">
        <f t="shared" si="18"/>
        <v>0</v>
      </c>
      <c r="R27" s="194">
        <f t="shared" si="19"/>
        <v>0</v>
      </c>
      <c r="S27" s="205">
        <f t="shared" si="20"/>
        <v>0</v>
      </c>
      <c r="T27" s="203">
        <f t="shared" si="33"/>
        <v>0</v>
      </c>
      <c r="U27" s="194">
        <f t="shared" ref="U27:U31" si="43">J27*$U$4</f>
        <v>0</v>
      </c>
      <c r="V27" s="194">
        <f t="shared" ref="V27:V31" si="44">J27*$V$4</f>
        <v>0</v>
      </c>
      <c r="W27" s="194">
        <f t="shared" si="36"/>
        <v>0</v>
      </c>
      <c r="X27" s="204">
        <f t="shared" si="37"/>
        <v>0</v>
      </c>
      <c r="Y27" s="193">
        <f t="shared" si="38"/>
        <v>0</v>
      </c>
      <c r="Z27" s="194">
        <f t="shared" si="24"/>
        <v>0</v>
      </c>
      <c r="AA27" s="194">
        <f t="shared" si="25"/>
        <v>0</v>
      </c>
      <c r="AB27" s="194">
        <f>K27*$AB$4</f>
        <v>0</v>
      </c>
      <c r="AC27" s="205">
        <f t="shared" si="42"/>
        <v>0</v>
      </c>
    </row>
    <row r="28" spans="1:80" x14ac:dyDescent="0.25">
      <c r="A28" s="23" t="s">
        <v>32</v>
      </c>
      <c r="H28" s="27">
        <v>0</v>
      </c>
      <c r="I28" s="79"/>
      <c r="J28" s="27">
        <v>0</v>
      </c>
      <c r="K28" s="79"/>
      <c r="L28" s="27">
        <v>0</v>
      </c>
      <c r="M28" s="27">
        <v>0</v>
      </c>
      <c r="N28" s="41"/>
      <c r="O28" s="193">
        <f>H28*$O$4</f>
        <v>0</v>
      </c>
      <c r="P28" s="194">
        <f>H28*$P$4</f>
        <v>0</v>
      </c>
      <c r="Q28" s="194">
        <f t="shared" si="18"/>
        <v>0</v>
      </c>
      <c r="R28" s="194">
        <f t="shared" si="19"/>
        <v>0</v>
      </c>
      <c r="S28" s="205">
        <f t="shared" si="20"/>
        <v>0</v>
      </c>
      <c r="T28" s="203">
        <f t="shared" si="21"/>
        <v>0</v>
      </c>
      <c r="U28" s="194">
        <f t="shared" si="43"/>
        <v>0</v>
      </c>
      <c r="V28" s="194">
        <f t="shared" si="44"/>
        <v>0</v>
      </c>
      <c r="W28" s="194">
        <f t="shared" ref="W28:W31" si="45">J28*$W$4</f>
        <v>0</v>
      </c>
      <c r="X28" s="204">
        <f t="shared" si="16"/>
        <v>0</v>
      </c>
      <c r="Y28" s="193">
        <f t="shared" si="23"/>
        <v>0</v>
      </c>
      <c r="Z28" s="194">
        <f t="shared" si="24"/>
        <v>0</v>
      </c>
      <c r="AA28" s="194">
        <f t="shared" si="25"/>
        <v>0</v>
      </c>
      <c r="AB28" s="194">
        <f t="shared" si="26"/>
        <v>0</v>
      </c>
      <c r="AC28" s="205">
        <f t="shared" si="27"/>
        <v>0</v>
      </c>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row>
    <row r="29" spans="1:80" x14ac:dyDescent="0.25">
      <c r="A29" s="264" t="s">
        <v>33</v>
      </c>
      <c r="B29" s="265"/>
      <c r="E29" s="79"/>
      <c r="F29" s="79"/>
      <c r="G29" s="79"/>
      <c r="H29" s="82">
        <v>0</v>
      </c>
      <c r="J29" s="83">
        <f>H29</f>
        <v>0</v>
      </c>
      <c r="L29" s="84">
        <f>J29</f>
        <v>0</v>
      </c>
      <c r="M29" s="27">
        <v>0</v>
      </c>
      <c r="N29" s="41"/>
      <c r="O29" s="193">
        <f>H29*$O$4</f>
        <v>0</v>
      </c>
      <c r="P29" s="194">
        <f t="shared" si="17"/>
        <v>0</v>
      </c>
      <c r="Q29" s="194">
        <f t="shared" si="18"/>
        <v>0</v>
      </c>
      <c r="R29" s="194">
        <f t="shared" si="19"/>
        <v>0</v>
      </c>
      <c r="S29" s="205">
        <f t="shared" si="20"/>
        <v>0</v>
      </c>
      <c r="T29" s="203">
        <f t="shared" si="21"/>
        <v>0</v>
      </c>
      <c r="U29" s="194">
        <f t="shared" si="43"/>
        <v>0</v>
      </c>
      <c r="V29" s="194">
        <f t="shared" si="44"/>
        <v>0</v>
      </c>
      <c r="W29" s="194">
        <f t="shared" si="45"/>
        <v>0</v>
      </c>
      <c r="X29" s="204">
        <f t="shared" si="16"/>
        <v>0</v>
      </c>
      <c r="Y29" s="193">
        <f t="shared" si="23"/>
        <v>0</v>
      </c>
      <c r="Z29" s="194">
        <f t="shared" si="24"/>
        <v>0</v>
      </c>
      <c r="AA29" s="194">
        <f t="shared" si="25"/>
        <v>0</v>
      </c>
      <c r="AB29" s="194">
        <f t="shared" si="26"/>
        <v>0</v>
      </c>
      <c r="AC29" s="205">
        <f t="shared" si="27"/>
        <v>0</v>
      </c>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row>
    <row r="30" spans="1:80" x14ac:dyDescent="0.25">
      <c r="A30" s="1" t="s">
        <v>76</v>
      </c>
      <c r="H30" s="27">
        <v>75000</v>
      </c>
      <c r="I30" s="79"/>
      <c r="J30" s="27">
        <v>75000</v>
      </c>
      <c r="K30" s="79"/>
      <c r="L30" s="27">
        <v>75000</v>
      </c>
      <c r="M30" s="28">
        <f>SUM(H30,J30,L30)</f>
        <v>225000</v>
      </c>
      <c r="N30" s="41"/>
      <c r="O30" s="193">
        <f>H30*$O$4</f>
        <v>11250</v>
      </c>
      <c r="P30" s="194">
        <f>H30*$P$4</f>
        <v>30000</v>
      </c>
      <c r="Q30" s="194">
        <f t="shared" si="18"/>
        <v>15000</v>
      </c>
      <c r="R30" s="194">
        <f t="shared" si="19"/>
        <v>15000</v>
      </c>
      <c r="S30" s="205">
        <f t="shared" si="20"/>
        <v>3750</v>
      </c>
      <c r="T30" s="203">
        <f t="shared" si="21"/>
        <v>11250</v>
      </c>
      <c r="U30" s="194">
        <f t="shared" si="43"/>
        <v>30000</v>
      </c>
      <c r="V30" s="194">
        <f t="shared" si="44"/>
        <v>15000</v>
      </c>
      <c r="W30" s="194">
        <f t="shared" si="45"/>
        <v>15000</v>
      </c>
      <c r="X30" s="204">
        <f t="shared" si="16"/>
        <v>3750</v>
      </c>
      <c r="Y30" s="193">
        <f t="shared" si="23"/>
        <v>11250</v>
      </c>
      <c r="Z30" s="194">
        <f t="shared" si="24"/>
        <v>30000</v>
      </c>
      <c r="AA30" s="194">
        <f t="shared" si="25"/>
        <v>15000</v>
      </c>
      <c r="AB30" s="194">
        <f t="shared" si="26"/>
        <v>15000</v>
      </c>
      <c r="AC30" s="205">
        <f t="shared" si="27"/>
        <v>3750</v>
      </c>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row>
    <row r="31" spans="1:80" ht="16.899999999999999" customHeight="1" x14ac:dyDescent="0.25">
      <c r="A31" s="23" t="s">
        <v>34</v>
      </c>
      <c r="H31" s="19">
        <v>2000</v>
      </c>
      <c r="I31" s="79"/>
      <c r="J31" s="19">
        <v>2000</v>
      </c>
      <c r="K31" s="79"/>
      <c r="L31" s="19">
        <v>2000</v>
      </c>
      <c r="M31" s="26">
        <f>SUM(H31, J31, L31)</f>
        <v>6000</v>
      </c>
      <c r="N31" s="159"/>
      <c r="O31" s="206">
        <f>H31*$O$4</f>
        <v>300</v>
      </c>
      <c r="P31" s="207">
        <f>H31*$P$4</f>
        <v>800</v>
      </c>
      <c r="Q31" s="207">
        <f t="shared" si="18"/>
        <v>400</v>
      </c>
      <c r="R31" s="207">
        <f t="shared" si="19"/>
        <v>400</v>
      </c>
      <c r="S31" s="208">
        <f t="shared" si="20"/>
        <v>100</v>
      </c>
      <c r="T31" s="203">
        <f>J31*$T$4</f>
        <v>300</v>
      </c>
      <c r="U31" s="194">
        <f t="shared" si="43"/>
        <v>800</v>
      </c>
      <c r="V31" s="194">
        <f t="shared" si="44"/>
        <v>400</v>
      </c>
      <c r="W31" s="194">
        <f t="shared" si="45"/>
        <v>400</v>
      </c>
      <c r="X31" s="204">
        <f t="shared" si="16"/>
        <v>100</v>
      </c>
      <c r="Y31" s="193">
        <f t="shared" si="23"/>
        <v>300</v>
      </c>
      <c r="Z31" s="194">
        <f t="shared" si="24"/>
        <v>800</v>
      </c>
      <c r="AA31" s="194">
        <f t="shared" si="25"/>
        <v>400</v>
      </c>
      <c r="AB31" s="194">
        <f t="shared" si="26"/>
        <v>400</v>
      </c>
      <c r="AC31" s="205">
        <f t="shared" si="27"/>
        <v>100</v>
      </c>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row>
    <row r="32" spans="1:80" ht="15" customHeight="1" x14ac:dyDescent="0.25">
      <c r="A32" s="257" t="s">
        <v>5</v>
      </c>
      <c r="B32" s="258"/>
      <c r="C32" s="85"/>
      <c r="D32" s="85"/>
      <c r="E32" s="86"/>
      <c r="F32" s="86"/>
      <c r="G32" s="86"/>
      <c r="H32" s="87"/>
      <c r="I32" s="88"/>
      <c r="J32" s="89"/>
      <c r="K32" s="88"/>
      <c r="L32" s="88"/>
      <c r="M32" s="90">
        <f>SUM(M13, M15, M19,M21,M22,M27,M28,M29,M30,M31)</f>
        <v>2986111</v>
      </c>
      <c r="N32" s="160"/>
      <c r="O32" s="209">
        <f t="shared" ref="O32:AC32" si="46">SUM(O7:O31)</f>
        <v>196749.7</v>
      </c>
      <c r="P32" s="210">
        <f t="shared" si="46"/>
        <v>420499.20000000001</v>
      </c>
      <c r="Q32" s="210">
        <f t="shared" si="46"/>
        <v>241499.6</v>
      </c>
      <c r="R32" s="210">
        <f t="shared" si="46"/>
        <v>241499.6</v>
      </c>
      <c r="S32" s="211">
        <f t="shared" si="46"/>
        <v>44749.9</v>
      </c>
      <c r="T32" s="209">
        <f t="shared" si="46"/>
        <v>157591.25</v>
      </c>
      <c r="U32" s="210">
        <f t="shared" si="46"/>
        <v>368160</v>
      </c>
      <c r="V32" s="210">
        <f t="shared" si="46"/>
        <v>199705</v>
      </c>
      <c r="W32" s="210">
        <f t="shared" si="46"/>
        <v>199705</v>
      </c>
      <c r="X32" s="211">
        <f t="shared" si="46"/>
        <v>42113.75</v>
      </c>
      <c r="Y32" s="209">
        <f t="shared" si="46"/>
        <v>137325.70000000001</v>
      </c>
      <c r="Z32" s="210">
        <f t="shared" si="46"/>
        <v>340160.2</v>
      </c>
      <c r="AA32" s="210">
        <f t="shared" si="46"/>
        <v>177892.6</v>
      </c>
      <c r="AB32" s="210">
        <f t="shared" si="46"/>
        <v>177892.6</v>
      </c>
      <c r="AC32" s="211">
        <f t="shared" si="46"/>
        <v>40566.9</v>
      </c>
    </row>
    <row r="33" spans="1:29" ht="16.149999999999999" customHeight="1" x14ac:dyDescent="0.25">
      <c r="A33" s="259" t="s">
        <v>35</v>
      </c>
      <c r="B33" s="260"/>
      <c r="H33" s="78"/>
      <c r="I33" s="91"/>
      <c r="J33" s="92"/>
      <c r="K33" s="91"/>
      <c r="L33" s="91"/>
      <c r="M33" s="93">
        <f>M32*0.08</f>
        <v>238888.88</v>
      </c>
      <c r="N33" s="161"/>
      <c r="O33" s="212">
        <f t="shared" ref="O33:AC33" si="47">O32*0.08</f>
        <v>15739.98</v>
      </c>
      <c r="P33" s="213">
        <f t="shared" si="47"/>
        <v>33639.94</v>
      </c>
      <c r="Q33" s="213">
        <f t="shared" si="47"/>
        <v>19319.97</v>
      </c>
      <c r="R33" s="213">
        <f t="shared" si="47"/>
        <v>19319.97</v>
      </c>
      <c r="S33" s="214">
        <f t="shared" si="47"/>
        <v>3579.99</v>
      </c>
      <c r="T33" s="212">
        <f t="shared" si="47"/>
        <v>12607.3</v>
      </c>
      <c r="U33" s="213">
        <f t="shared" si="47"/>
        <v>29452.799999999999</v>
      </c>
      <c r="V33" s="213">
        <f t="shared" si="47"/>
        <v>15976.4</v>
      </c>
      <c r="W33" s="213">
        <f t="shared" si="47"/>
        <v>15976.4</v>
      </c>
      <c r="X33" s="214">
        <f t="shared" si="47"/>
        <v>3369.1</v>
      </c>
      <c r="Y33" s="212">
        <f t="shared" si="47"/>
        <v>10986.06</v>
      </c>
      <c r="Z33" s="213">
        <f t="shared" si="47"/>
        <v>27212.82</v>
      </c>
      <c r="AA33" s="213">
        <f t="shared" si="47"/>
        <v>14231.41</v>
      </c>
      <c r="AB33" s="213">
        <f t="shared" si="47"/>
        <v>14231.41</v>
      </c>
      <c r="AC33" s="214">
        <f t="shared" si="47"/>
        <v>3245.35</v>
      </c>
    </row>
    <row r="34" spans="1:29" s="3" customFormat="1" ht="22.9" customHeight="1" x14ac:dyDescent="0.25">
      <c r="A34" s="261" t="s">
        <v>70</v>
      </c>
      <c r="B34" s="262"/>
      <c r="C34" s="94"/>
      <c r="D34" s="94"/>
      <c r="E34" s="94"/>
      <c r="F34" s="94"/>
      <c r="G34" s="94"/>
      <c r="H34" s="95"/>
      <c r="I34" s="96"/>
      <c r="J34" s="97"/>
      <c r="K34" s="96"/>
      <c r="L34" s="96"/>
      <c r="M34" s="98">
        <f>SUM(M32,M33)</f>
        <v>3224999.88</v>
      </c>
      <c r="N34" s="162"/>
      <c r="O34" s="215">
        <f t="shared" ref="O34:AC34" si="48">SUM(O32:O33)</f>
        <v>212489.68</v>
      </c>
      <c r="P34" s="216">
        <f t="shared" si="48"/>
        <v>454139.14</v>
      </c>
      <c r="Q34" s="216">
        <f t="shared" si="48"/>
        <v>260819.57</v>
      </c>
      <c r="R34" s="216">
        <f t="shared" si="48"/>
        <v>260819.57</v>
      </c>
      <c r="S34" s="217">
        <f t="shared" si="48"/>
        <v>48329.89</v>
      </c>
      <c r="T34" s="215">
        <f t="shared" si="48"/>
        <v>170198.55</v>
      </c>
      <c r="U34" s="216">
        <f t="shared" si="48"/>
        <v>397612.79999999999</v>
      </c>
      <c r="V34" s="216">
        <f t="shared" si="48"/>
        <v>215681.4</v>
      </c>
      <c r="W34" s="216">
        <f t="shared" si="48"/>
        <v>215681.4</v>
      </c>
      <c r="X34" s="217">
        <f t="shared" si="48"/>
        <v>45482.85</v>
      </c>
      <c r="Y34" s="215">
        <f t="shared" si="48"/>
        <v>148311.76</v>
      </c>
      <c r="Z34" s="216">
        <f t="shared" si="48"/>
        <v>367373.02</v>
      </c>
      <c r="AA34" s="216">
        <f t="shared" si="48"/>
        <v>192124.01</v>
      </c>
      <c r="AB34" s="216">
        <f t="shared" si="48"/>
        <v>192124.01</v>
      </c>
      <c r="AC34" s="217">
        <f t="shared" si="48"/>
        <v>43812.25</v>
      </c>
    </row>
    <row r="35" spans="1:29" x14ac:dyDescent="0.25">
      <c r="K35" s="263" t="s">
        <v>71</v>
      </c>
      <c r="L35" s="263"/>
      <c r="M35" s="220">
        <v>3225000</v>
      </c>
      <c r="O35" s="192">
        <f>O34/SUM($O$34:$S$34)</f>
        <v>0.17180000000000001</v>
      </c>
      <c r="P35" s="192">
        <f t="shared" ref="P35:S35" si="49">P34/SUM($O$34:$S$34)</f>
        <v>0.36720000000000003</v>
      </c>
      <c r="Q35" s="192">
        <f t="shared" si="49"/>
        <v>0.2109</v>
      </c>
      <c r="R35" s="192">
        <f t="shared" si="49"/>
        <v>0.2109</v>
      </c>
      <c r="S35" s="192">
        <f t="shared" si="49"/>
        <v>3.9100000000000003E-2</v>
      </c>
      <c r="T35" s="192">
        <f>T34/SUM($T$34:$X$34)</f>
        <v>0.16289999999999999</v>
      </c>
      <c r="U35" s="192">
        <f t="shared" ref="U35:X35" si="50">U34/SUM($T$34:$X$34)</f>
        <v>0.38059999999999999</v>
      </c>
      <c r="V35" s="192">
        <f t="shared" si="50"/>
        <v>0.20649999999999999</v>
      </c>
      <c r="W35" s="192">
        <f t="shared" si="50"/>
        <v>0.20649999999999999</v>
      </c>
      <c r="X35" s="192">
        <f t="shared" si="50"/>
        <v>4.3499999999999997E-2</v>
      </c>
      <c r="Y35" s="192">
        <f>Y34/SUM($Y$34:$AC$34)</f>
        <v>0.15720000000000001</v>
      </c>
      <c r="Z35" s="192">
        <f t="shared" ref="Z35:AC35" si="51">Z34/SUM($Y$34:$AC$34)</f>
        <v>0.38929999999999998</v>
      </c>
      <c r="AA35" s="192">
        <f t="shared" si="51"/>
        <v>0.2036</v>
      </c>
      <c r="AB35" s="192">
        <f t="shared" si="51"/>
        <v>0.2036</v>
      </c>
      <c r="AC35" s="192">
        <f t="shared" si="51"/>
        <v>4.6399999999999997E-2</v>
      </c>
    </row>
    <row r="36" spans="1:29" x14ac:dyDescent="0.25">
      <c r="P36" s="195"/>
      <c r="U36" s="195"/>
      <c r="Z36" s="195"/>
    </row>
    <row r="37" spans="1:29" x14ac:dyDescent="0.25">
      <c r="M37" s="99"/>
      <c r="N37" s="99"/>
      <c r="P37" s="178"/>
      <c r="Q37" s="195"/>
      <c r="S37" s="219" t="b">
        <f>IF(SUM(O32:S32)=SUM(H13:H31),TRUE,FALSE)</f>
        <v>1</v>
      </c>
      <c r="U37" s="178"/>
      <c r="X37" s="219" t="b">
        <f>IF(SUM(T32:X32)=SUM(J13:J31),TRUE,FALSE)</f>
        <v>1</v>
      </c>
      <c r="Z37" s="178"/>
      <c r="AC37" s="219" t="b">
        <f>IF(SUM(Y32:AC32)=SUM(L13:L31),TRUE,FALSE)</f>
        <v>1</v>
      </c>
    </row>
    <row r="38" spans="1:29" x14ac:dyDescent="0.25">
      <c r="M38" s="91"/>
      <c r="N38" s="91"/>
      <c r="Q38" s="178"/>
      <c r="U38" s="178"/>
      <c r="Z38" s="218"/>
    </row>
    <row r="41" spans="1:29" x14ac:dyDescent="0.25">
      <c r="A41" s="105" t="s">
        <v>9</v>
      </c>
      <c r="B41" s="54"/>
      <c r="C41" s="106"/>
      <c r="D41" s="25"/>
      <c r="E41" s="55"/>
      <c r="F41" s="55"/>
      <c r="G41" s="128">
        <f>F49+F57+F59</f>
        <v>144100</v>
      </c>
      <c r="H41" s="129"/>
      <c r="I41" s="57"/>
      <c r="J41" s="128">
        <f>I49+I57+I59</f>
        <v>144100</v>
      </c>
      <c r="K41" s="129"/>
      <c r="L41" s="57"/>
      <c r="M41" s="128">
        <f>L49+L57+L59</f>
        <v>144100</v>
      </c>
      <c r="N41" s="59">
        <f>SUM(G41:M41)</f>
        <v>432300</v>
      </c>
    </row>
    <row r="42" spans="1:29" x14ac:dyDescent="0.25">
      <c r="A42" s="15"/>
      <c r="B42" s="43"/>
      <c r="C42" s="13"/>
      <c r="D42" s="17"/>
      <c r="E42" s="41"/>
      <c r="F42" s="41"/>
      <c r="G42" s="131"/>
      <c r="H42" s="130"/>
      <c r="I42" s="59"/>
      <c r="J42" s="131"/>
      <c r="K42" s="130"/>
      <c r="L42" s="59"/>
      <c r="M42" s="131"/>
      <c r="N42" s="163"/>
      <c r="O42" s="179"/>
      <c r="P42" s="180"/>
      <c r="T42" s="179"/>
      <c r="U42" s="180"/>
      <c r="Y42" s="179"/>
      <c r="Z42" s="180"/>
    </row>
    <row r="43" spans="1:29" ht="16.149999999999999" customHeight="1" x14ac:dyDescent="0.25">
      <c r="A43" s="233" t="s">
        <v>40</v>
      </c>
      <c r="B43" s="233"/>
      <c r="C43" s="233"/>
      <c r="D43" s="233"/>
      <c r="E43" s="233"/>
      <c r="F43" s="233"/>
      <c r="G43" s="132"/>
      <c r="H43" s="133"/>
      <c r="I43" s="134"/>
      <c r="J43" s="132"/>
      <c r="K43" s="133"/>
      <c r="L43" s="134"/>
      <c r="M43" s="5"/>
      <c r="N43" s="164"/>
      <c r="O43" s="181"/>
      <c r="P43" s="182"/>
      <c r="T43" s="181"/>
      <c r="U43" s="182"/>
      <c r="Y43" s="181"/>
      <c r="Z43" s="182"/>
    </row>
    <row r="44" spans="1:29" x14ac:dyDescent="0.25">
      <c r="A44" s="2"/>
      <c r="B44" s="107" t="s">
        <v>14</v>
      </c>
      <c r="C44" s="107" t="s">
        <v>3</v>
      </c>
      <c r="D44" s="108" t="s">
        <v>15</v>
      </c>
      <c r="E44" s="109" t="s">
        <v>16</v>
      </c>
      <c r="F44" s="110" t="s">
        <v>4</v>
      </c>
      <c r="G44" s="135"/>
      <c r="H44" s="136"/>
      <c r="I44" s="41"/>
      <c r="J44" s="135"/>
      <c r="K44" s="136"/>
      <c r="L44" s="41"/>
      <c r="M44" s="135"/>
      <c r="N44" s="165"/>
      <c r="O44" s="183"/>
      <c r="P44" s="178"/>
      <c r="T44" s="183"/>
      <c r="U44" s="178"/>
      <c r="Y44" s="183"/>
      <c r="Z44" s="178"/>
    </row>
    <row r="45" spans="1:29" x14ac:dyDescent="0.25">
      <c r="A45" s="16"/>
      <c r="B45" s="111">
        <v>31</v>
      </c>
      <c r="C45" s="111">
        <v>2</v>
      </c>
      <c r="D45" s="69">
        <v>2</v>
      </c>
      <c r="E45" s="112"/>
      <c r="F45" s="43"/>
      <c r="G45" s="137"/>
      <c r="H45" s="138"/>
      <c r="I45" s="104"/>
      <c r="J45" s="137"/>
      <c r="K45" s="138"/>
      <c r="L45" s="104"/>
      <c r="M45" s="137"/>
      <c r="N45" s="166"/>
      <c r="O45" s="184"/>
      <c r="P45" s="185"/>
      <c r="T45" s="184"/>
      <c r="U45" s="185"/>
      <c r="Y45" s="184"/>
      <c r="Z45" s="185"/>
    </row>
    <row r="46" spans="1:29" x14ac:dyDescent="0.25">
      <c r="A46" s="14" t="s">
        <v>17</v>
      </c>
      <c r="B46" s="113"/>
      <c r="C46" s="113"/>
      <c r="D46" s="114"/>
      <c r="E46" s="115">
        <v>600</v>
      </c>
      <c r="F46" s="116">
        <f>E46*B45*C45</f>
        <v>37200</v>
      </c>
      <c r="G46" s="139"/>
      <c r="H46" s="140"/>
      <c r="I46" s="116">
        <f>F46</f>
        <v>37200</v>
      </c>
      <c r="J46" s="139"/>
      <c r="K46" s="140"/>
      <c r="L46" s="116">
        <f>F46</f>
        <v>37200</v>
      </c>
      <c r="M46" s="139"/>
      <c r="N46" s="167"/>
      <c r="O46" s="186"/>
      <c r="P46" s="187"/>
      <c r="T46" s="186"/>
      <c r="U46" s="187"/>
      <c r="Y46" s="186"/>
      <c r="Z46" s="187"/>
    </row>
    <row r="47" spans="1:29" x14ac:dyDescent="0.25">
      <c r="A47" s="14" t="s">
        <v>18</v>
      </c>
      <c r="B47" s="113"/>
      <c r="C47" s="113"/>
      <c r="D47" s="114"/>
      <c r="E47" s="115">
        <f>60+250</f>
        <v>310</v>
      </c>
      <c r="F47" s="116">
        <f>E47*B45*C45*D45</f>
        <v>38440</v>
      </c>
      <c r="G47" s="139"/>
      <c r="H47" s="140"/>
      <c r="I47" s="116">
        <f>F47</f>
        <v>38440</v>
      </c>
      <c r="J47" s="139"/>
      <c r="K47" s="140"/>
      <c r="L47" s="116">
        <f>F47</f>
        <v>38440</v>
      </c>
      <c r="M47" s="139"/>
      <c r="N47" s="167"/>
      <c r="O47" s="186"/>
      <c r="P47" s="187"/>
      <c r="T47" s="186"/>
      <c r="U47" s="187"/>
      <c r="Y47" s="186"/>
      <c r="Z47" s="187"/>
    </row>
    <row r="48" spans="1:29" ht="31.5" x14ac:dyDescent="0.25">
      <c r="A48" s="14" t="s">
        <v>19</v>
      </c>
      <c r="B48" s="113"/>
      <c r="C48" s="113"/>
      <c r="D48" s="117"/>
      <c r="E48" s="118">
        <v>75</v>
      </c>
      <c r="F48" s="116">
        <f>E48*C45*B45</f>
        <v>4650</v>
      </c>
      <c r="G48" s="139"/>
      <c r="H48" s="140"/>
      <c r="I48" s="116">
        <f>F48:F62</f>
        <v>4650</v>
      </c>
      <c r="J48" s="139"/>
      <c r="K48" s="140"/>
      <c r="L48" s="116">
        <f>F48</f>
        <v>4650</v>
      </c>
      <c r="M48" s="139"/>
      <c r="N48" s="167"/>
      <c r="O48" s="186"/>
      <c r="P48" s="187"/>
      <c r="T48" s="186"/>
      <c r="U48" s="187"/>
      <c r="Y48" s="186"/>
      <c r="Z48" s="187"/>
    </row>
    <row r="49" spans="1:26" x14ac:dyDescent="0.25">
      <c r="A49" s="119" t="s">
        <v>20</v>
      </c>
      <c r="B49" s="120"/>
      <c r="C49" s="120"/>
      <c r="D49" s="120"/>
      <c r="E49" s="121"/>
      <c r="F49" s="122">
        <f>SUM(F46:F48)</f>
        <v>80290</v>
      </c>
      <c r="G49" s="5"/>
      <c r="H49" s="79"/>
      <c r="I49" s="122">
        <f>SUM(I46:I48)</f>
        <v>80290</v>
      </c>
      <c r="J49" s="5"/>
      <c r="L49" s="122">
        <f>SUM(L46:L48)</f>
        <v>80290</v>
      </c>
      <c r="M49" s="5"/>
      <c r="N49" s="164"/>
      <c r="O49" s="188"/>
      <c r="P49" s="174"/>
      <c r="T49" s="188"/>
      <c r="U49" s="174"/>
      <c r="Y49" s="188"/>
      <c r="Z49" s="174"/>
    </row>
    <row r="50" spans="1:26" ht="16.149999999999999" customHeight="1" x14ac:dyDescent="0.25">
      <c r="A50" s="233" t="s">
        <v>41</v>
      </c>
      <c r="B50" s="233"/>
      <c r="C50" s="233"/>
      <c r="D50" s="233"/>
      <c r="E50" s="233"/>
      <c r="F50" s="233"/>
      <c r="G50" s="132"/>
      <c r="H50" s="133"/>
      <c r="I50" s="134"/>
      <c r="J50" s="132"/>
      <c r="K50" s="133"/>
      <c r="L50" s="134"/>
      <c r="M50" s="5"/>
      <c r="N50" s="164"/>
      <c r="O50" s="181"/>
      <c r="P50" s="182"/>
      <c r="T50" s="181"/>
      <c r="U50" s="182"/>
      <c r="Y50" s="181"/>
      <c r="Z50" s="182"/>
    </row>
    <row r="51" spans="1:26" x14ac:dyDescent="0.25">
      <c r="A51" s="2"/>
      <c r="B51" s="107" t="s">
        <v>14</v>
      </c>
      <c r="C51" s="107" t="s">
        <v>3</v>
      </c>
      <c r="D51" s="108" t="s">
        <v>15</v>
      </c>
      <c r="E51" s="109" t="s">
        <v>16</v>
      </c>
      <c r="F51" s="110" t="s">
        <v>4</v>
      </c>
      <c r="G51" s="135"/>
      <c r="H51" s="136"/>
      <c r="I51" s="41"/>
      <c r="J51" s="135"/>
      <c r="K51" s="136"/>
      <c r="L51" s="41"/>
      <c r="M51" s="135"/>
      <c r="N51" s="165"/>
      <c r="O51" s="183"/>
      <c r="P51" s="178"/>
      <c r="T51" s="183"/>
      <c r="U51" s="178"/>
      <c r="Y51" s="183"/>
      <c r="Z51" s="178"/>
    </row>
    <row r="52" spans="1:26" x14ac:dyDescent="0.25">
      <c r="A52" s="16"/>
      <c r="B52" s="111">
        <v>31</v>
      </c>
      <c r="C52" s="111">
        <v>1</v>
      </c>
      <c r="D52" s="69">
        <v>3.5</v>
      </c>
      <c r="E52" s="112"/>
      <c r="F52" s="43"/>
      <c r="G52" s="137"/>
      <c r="H52" s="138"/>
      <c r="I52" s="104"/>
      <c r="J52" s="137"/>
      <c r="K52" s="138"/>
      <c r="L52" s="104"/>
      <c r="M52" s="137"/>
      <c r="N52" s="166"/>
      <c r="O52" s="184"/>
      <c r="P52" s="185"/>
      <c r="T52" s="184"/>
      <c r="U52" s="185"/>
      <c r="Y52" s="184"/>
      <c r="Z52" s="185"/>
    </row>
    <row r="53" spans="1:26" x14ac:dyDescent="0.25">
      <c r="A53" s="14" t="s">
        <v>17</v>
      </c>
      <c r="B53" s="113"/>
      <c r="C53" s="113"/>
      <c r="D53" s="114"/>
      <c r="E53" s="115">
        <v>500</v>
      </c>
      <c r="F53" s="116">
        <f>E53*B52*C52</f>
        <v>15500</v>
      </c>
      <c r="G53" s="139"/>
      <c r="H53" s="140"/>
      <c r="I53" s="116">
        <f>F53</f>
        <v>15500</v>
      </c>
      <c r="J53" s="139"/>
      <c r="K53" s="140"/>
      <c r="L53" s="116">
        <f>F53</f>
        <v>15500</v>
      </c>
      <c r="M53" s="139"/>
      <c r="N53" s="167"/>
      <c r="O53" s="186"/>
      <c r="P53" s="187"/>
      <c r="T53" s="186"/>
      <c r="U53" s="187"/>
      <c r="Y53" s="186"/>
      <c r="Z53" s="187"/>
    </row>
    <row r="54" spans="1:26" x14ac:dyDescent="0.25">
      <c r="A54" s="14" t="s">
        <v>21</v>
      </c>
      <c r="B54" s="113"/>
      <c r="C54" s="113"/>
      <c r="D54" s="114"/>
      <c r="E54" s="115">
        <v>300</v>
      </c>
      <c r="F54" s="116">
        <f>E54*B52</f>
        <v>9300</v>
      </c>
      <c r="G54" s="139"/>
      <c r="H54" s="140"/>
      <c r="I54" s="116">
        <f>F54</f>
        <v>9300</v>
      </c>
      <c r="J54" s="139"/>
      <c r="K54" s="140"/>
      <c r="L54" s="116">
        <f>F54</f>
        <v>9300</v>
      </c>
      <c r="M54" s="139"/>
      <c r="N54" s="174" t="s">
        <v>13</v>
      </c>
      <c r="P54" s="187"/>
      <c r="T54" s="174" t="s">
        <v>13</v>
      </c>
      <c r="U54" s="187"/>
      <c r="Y54" s="174" t="s">
        <v>13</v>
      </c>
      <c r="Z54" s="187"/>
    </row>
    <row r="55" spans="1:26" x14ac:dyDescent="0.25">
      <c r="A55" s="14" t="s">
        <v>18</v>
      </c>
      <c r="B55" s="113"/>
      <c r="C55" s="113"/>
      <c r="D55" s="114"/>
      <c r="E55" s="115">
        <f>60+200</f>
        <v>260</v>
      </c>
      <c r="F55" s="116">
        <f>E55*B52*C52*D52</f>
        <v>28210</v>
      </c>
      <c r="G55" s="139"/>
      <c r="H55" s="140"/>
      <c r="I55" s="116">
        <f>F55</f>
        <v>28210</v>
      </c>
      <c r="J55" s="139"/>
      <c r="K55" s="140"/>
      <c r="L55" s="116">
        <f>F55</f>
        <v>28210</v>
      </c>
      <c r="M55" s="139"/>
      <c r="N55" s="177">
        <v>60</v>
      </c>
      <c r="P55" s="187"/>
      <c r="T55" s="177">
        <v>60</v>
      </c>
      <c r="U55" s="187"/>
      <c r="Y55" s="177">
        <v>60</v>
      </c>
      <c r="Z55" s="187"/>
    </row>
    <row r="56" spans="1:26" ht="31.5" x14ac:dyDescent="0.25">
      <c r="A56" s="14" t="s">
        <v>19</v>
      </c>
      <c r="B56" s="113"/>
      <c r="C56" s="113"/>
      <c r="D56" s="117"/>
      <c r="E56" s="118">
        <v>75</v>
      </c>
      <c r="F56" s="116">
        <f>E56*C52*B52</f>
        <v>2325</v>
      </c>
      <c r="G56" s="139"/>
      <c r="H56" s="140"/>
      <c r="I56" s="116">
        <f>F56</f>
        <v>2325</v>
      </c>
      <c r="J56" s="139"/>
      <c r="K56" s="140"/>
      <c r="L56" s="116">
        <f>F56</f>
        <v>2325</v>
      </c>
      <c r="M56" s="139"/>
      <c r="N56" s="174"/>
      <c r="P56" s="187"/>
      <c r="U56" s="187"/>
      <c r="Z56" s="187"/>
    </row>
    <row r="57" spans="1:26" x14ac:dyDescent="0.25">
      <c r="A57" s="119" t="s">
        <v>20</v>
      </c>
      <c r="B57" s="120"/>
      <c r="C57" s="120"/>
      <c r="D57" s="120"/>
      <c r="E57" s="121"/>
      <c r="F57" s="122">
        <f>SUM(F53:F56)</f>
        <v>55335</v>
      </c>
      <c r="G57" s="5"/>
      <c r="H57" s="79"/>
      <c r="I57" s="122">
        <f>SUM(I53:I56)</f>
        <v>55335</v>
      </c>
      <c r="J57" s="5"/>
      <c r="L57" s="122">
        <f>SUM(L53:L56)</f>
        <v>55335</v>
      </c>
      <c r="M57" s="5"/>
      <c r="N57" s="174"/>
      <c r="P57" s="174"/>
      <c r="U57" s="174"/>
      <c r="Z57" s="174"/>
    </row>
    <row r="58" spans="1:26" ht="16.149999999999999" customHeight="1" x14ac:dyDescent="0.25">
      <c r="A58" s="227" t="s">
        <v>42</v>
      </c>
      <c r="B58" s="228"/>
      <c r="C58" s="123"/>
      <c r="D58" s="124" t="s">
        <v>3</v>
      </c>
      <c r="E58" s="125" t="s">
        <v>23</v>
      </c>
      <c r="F58" s="43"/>
      <c r="G58" s="135"/>
      <c r="H58" s="136"/>
      <c r="I58" s="81"/>
      <c r="J58" s="135"/>
      <c r="K58" s="141"/>
      <c r="L58" s="81"/>
      <c r="M58" s="135"/>
      <c r="N58" s="189" t="s">
        <v>0</v>
      </c>
      <c r="P58" s="178"/>
      <c r="T58" s="189" t="s">
        <v>0</v>
      </c>
      <c r="U58" s="178"/>
      <c r="Y58" s="189" t="s">
        <v>0</v>
      </c>
      <c r="Z58" s="178"/>
    </row>
    <row r="59" spans="1:26" x14ac:dyDescent="0.25">
      <c r="A59" s="4"/>
      <c r="B59" s="60"/>
      <c r="C59" s="126"/>
      <c r="D59" s="61">
        <v>250</v>
      </c>
      <c r="E59" s="127">
        <v>60</v>
      </c>
      <c r="F59" s="65">
        <f>D59*E59*N59</f>
        <v>8475</v>
      </c>
      <c r="G59" s="142"/>
      <c r="H59" s="143"/>
      <c r="I59" s="65">
        <f>F59</f>
        <v>8475</v>
      </c>
      <c r="J59" s="142"/>
      <c r="K59" s="144"/>
      <c r="L59" s="65">
        <f>I59</f>
        <v>8475</v>
      </c>
      <c r="M59" s="142"/>
      <c r="N59" s="190">
        <v>0.56499999999999995</v>
      </c>
      <c r="P59" s="191"/>
      <c r="T59" s="190">
        <v>0.56499999999999995</v>
      </c>
      <c r="U59" s="191"/>
      <c r="Y59" s="190">
        <v>0.56499999999999995</v>
      </c>
      <c r="Z59" s="191"/>
    </row>
  </sheetData>
  <mergeCells count="30">
    <mergeCell ref="K35:L35"/>
    <mergeCell ref="A21:B21"/>
    <mergeCell ref="A22:B22"/>
    <mergeCell ref="A27:B27"/>
    <mergeCell ref="A29:B29"/>
    <mergeCell ref="A6:B6"/>
    <mergeCell ref="A26:B26"/>
    <mergeCell ref="A1:N1"/>
    <mergeCell ref="A32:B32"/>
    <mergeCell ref="A33:B33"/>
    <mergeCell ref="A50:F50"/>
    <mergeCell ref="A58:B58"/>
    <mergeCell ref="A15:C15"/>
    <mergeCell ref="A43:F43"/>
    <mergeCell ref="A17:G17"/>
    <mergeCell ref="A18:G18"/>
    <mergeCell ref="A25:B25"/>
    <mergeCell ref="A23:B23"/>
    <mergeCell ref="A24:B24"/>
    <mergeCell ref="A16:B16"/>
    <mergeCell ref="A20:C20"/>
    <mergeCell ref="A34:B34"/>
    <mergeCell ref="T3:X3"/>
    <mergeCell ref="Y3:AC3"/>
    <mergeCell ref="A2:M2"/>
    <mergeCell ref="A3:M3"/>
    <mergeCell ref="I4:J4"/>
    <mergeCell ref="K4:L4"/>
    <mergeCell ref="C4:H4"/>
    <mergeCell ref="O3:S3"/>
  </mergeCells>
  <phoneticPr fontId="0" type="noConversion"/>
  <pageMargins left="0.75" right="0.75" top="1" bottom="1" header="0.5" footer="0.5"/>
  <pageSetup scale="50" orientation="landscape" horizontalDpi="4294967292" verticalDpi="4294967292"/>
  <colBreaks count="1" manualBreakCount="1">
    <brk id="14"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District Leads (Consortium)</vt:lpstr>
      <vt:lpstr>Virtual IC only (District)</vt:lpstr>
      <vt:lpstr>Grade Band Coaches (District)</vt:lpstr>
      <vt:lpstr>Grade Band Coaches (Consortium)</vt:lpstr>
      <vt:lpstr>'District Leads (Consortium)'!Print_Area</vt:lpstr>
      <vt:lpstr>'Grade Band Coaches (Consortium)'!Print_Area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Jayne James</dc:creator>
  <cp:lastModifiedBy>Suzanne E. Myers</cp:lastModifiedBy>
  <cp:lastPrinted>2012-06-21T19:47:46Z</cp:lastPrinted>
  <dcterms:created xsi:type="dcterms:W3CDTF">2004-02-18T21:18:10Z</dcterms:created>
  <dcterms:modified xsi:type="dcterms:W3CDTF">2018-02-07T21:53:09Z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